
<file path=[Content_Types].xml><?xml version="1.0" encoding="utf-8"?>
<Types xmlns="http://schemas.openxmlformats.org/package/2006/content-types">
  <Override PartName="/xl/activeX/activeX4.bin" ContentType="application/vnd.ms-office.activeX"/>
  <Override PartName="/xl/embeddings/oleObject8.bin" ContentType="application/vnd.openxmlformats-officedocument.oleObject"/>
  <Override PartName="/xl/embeddings/oleObject43.bin" ContentType="application/vnd.openxmlformats-officedocument.oleObject"/>
  <Override PartName="/xl/styles.xml" ContentType="application/vnd.openxmlformats-officedocument.spreadsheetml.styles+xml"/>
  <Override PartName="/xl/charts/chart4.xml" ContentType="application/vnd.openxmlformats-officedocument.drawingml.chart+xml"/>
  <Override PartName="/xl/activeX/activeX14.bin" ContentType="application/vnd.ms-office.activeX"/>
  <Override PartName="/xl/activeX/activeX19.xml" ContentType="application/vnd.ms-office.activeX+xml"/>
  <Override PartName="/xl/drawings/drawing6.xml" ContentType="application/vnd.openxmlformats-officedocument.drawing+xml"/>
  <Override PartName="/xl/embeddings/oleObject21.bin" ContentType="application/vnd.openxmlformats-officedocument.oleObject"/>
  <Override PartName="/xl/embeddings/oleObject32.bin" ContentType="application/vnd.openxmlformats-officedocument.oleObject"/>
  <Override PartName="/xl/activeX/activeX32.bin" ContentType="application/vnd.ms-office.activeX"/>
  <Override PartName="/xl/embeddings/oleObject50.bin" ContentType="application/vnd.openxmlformats-officedocument.oleObject"/>
  <Override PartName="/xl/worksheets/sheet7.xml" ContentType="application/vnd.openxmlformats-officedocument.spreadsheetml.worksheet+xml"/>
  <Override PartName="/xl/embeddings/oleObject4.bin" ContentType="application/vnd.openxmlformats-officedocument.oleObject"/>
  <Override PartName="/xl/activeX/activeX5.xml" ContentType="application/vnd.ms-office.activeX+xml"/>
  <Override PartName="/xl/embeddings/oleObject10.bin" ContentType="application/vnd.openxmlformats-officedocument.oleObject"/>
  <Override PartName="/xl/activeX/activeX21.bin" ContentType="application/vnd.ms-office.activeX"/>
  <Override PartName="/xl/activeX/activeX37.xml" ContentType="application/vnd.ms-office.activeX+xml"/>
  <Default Extension="xml" ContentType="application/xml"/>
  <Override PartName="/xl/drawings/drawing2.xml" ContentType="application/vnd.openxmlformats-officedocument.drawing+xml"/>
  <Override PartName="/xl/activeX/activeX10.bin" ContentType="application/vnd.ms-office.activeX"/>
  <Override PartName="/xl/activeX/activeX15.xml" ContentType="application/vnd.ms-office.activeX+xml"/>
  <Override PartName="/xl/activeX/activeX26.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22.xml" ContentType="application/vnd.ms-office.activeX+xml"/>
  <Override PartName="/xl/activeX/activeX33.xml" ContentType="application/vnd.ms-office.activeX+xml"/>
  <Override PartName="/xl/charts/chart27.xml" ContentType="application/vnd.openxmlformats-officedocument.drawingml.chart+xml"/>
  <Override PartName="/xl/drawings/drawing13.xml" ContentType="application/vnd.openxmlformats-officedocument.drawing+xml"/>
  <Override PartName="/xl/activeX/activeX9.bin" ContentType="application/vnd.ms-office.activeX"/>
  <Override PartName="/xl/activeX/activeX11.xml" ContentType="application/vnd.ms-office.activeX+xml"/>
  <Override PartName="/xl/charts/chart16.xml" ContentType="application/vnd.openxmlformats-officedocument.drawingml.chart+xml"/>
  <Override PartName="/xl/embeddings/oleObject48.bin" ContentType="application/vnd.openxmlformats-officedocument.oleObject"/>
  <Override PartName="/xl/activeX/activeX40.xml" ContentType="application/vnd.ms-office.activeX+xml"/>
  <Override PartName="/xl/sharedStrings.xml" ContentType="application/vnd.openxmlformats-officedocument.spreadsheetml.sharedStrings+xml"/>
  <Override PartName="/xl/embeddings/oleObject19.bin" ContentType="application/vnd.openxmlformats-officedocument.oleObject"/>
  <Override PartName="/xl/activeX/activeX19.bin" ContentType="application/vnd.ms-office.activeX"/>
  <Override PartName="/xl/embeddings/oleObject37.bin" ContentType="application/vnd.openxmlformats-officedocument.oleObject"/>
  <Override PartName="/xl/charts/chart23.xml" ContentType="application/vnd.openxmlformats-officedocument.drawingml.chart+xml"/>
  <Override PartName="/xl/activeX/activeX5.bin" ContentType="application/vnd.ms-office.activeX"/>
  <Override PartName="/xl/embeddings/oleObject9.bin" ContentType="application/vnd.openxmlformats-officedocument.oleObject"/>
  <Override PartName="/xl/charts/chart9.xml" ContentType="application/vnd.openxmlformats-officedocument.drawingml.chart+xml"/>
  <Override PartName="/xl/charts/chart12.xml" ContentType="application/vnd.openxmlformats-officedocument.drawingml.chart+xml"/>
  <Override PartName="/xl/embeddings/oleObject26.bin" ContentType="application/vnd.openxmlformats-officedocument.oleObject"/>
  <Override PartName="/xl/embeddings/oleObject44.bin" ContentType="application/vnd.openxmlformats-officedocument.oleObject"/>
  <Override PartName="/xl/activeX/activeX37.bin" ContentType="application/vnd.ms-office.activeX"/>
  <Default Extension="bin" ContentType="application/vnd.openxmlformats-officedocument.spreadsheetml.printerSettings"/>
  <Override PartName="/xl/activeX/activeX15.bin" ContentType="application/vnd.ms-office.activeX"/>
  <Override PartName="/xl/embeddings/oleObject15.bin" ContentType="application/vnd.openxmlformats-officedocument.oleObject"/>
  <Override PartName="/xl/activeX/activeX26.bin" ContentType="application/vnd.ms-office.activeX"/>
  <Default Extension="png" ContentType="image/png"/>
  <Override PartName="/xl/embeddings/oleObject33.bin" ContentType="application/vnd.openxmlformats-officedocument.oleObject"/>
  <Override PartName="/xl/embeddings/oleObject5.bin" ContentType="application/vnd.openxmlformats-officedocument.oleObject"/>
  <Override PartName="/xl/activeX/activeX1.bin" ContentType="application/vnd.ms-office.activeX"/>
  <Override PartName="/xl/charts/chart5.xml" ContentType="application/vnd.openxmlformats-officedocument.drawingml.chart+xml"/>
  <Override PartName="/xl/activeX/activeX22.bin" ContentType="application/vnd.ms-office.activeX"/>
  <Override PartName="/xl/embeddings/oleObject22.bin" ContentType="application/vnd.openxmlformats-officedocument.oleObject"/>
  <Override PartName="/xl/drawings/drawing7.xml" ContentType="application/vnd.openxmlformats-officedocument.drawingml.chartshapes+xml"/>
  <Override PartName="/xl/embeddings/oleObject40.bin" ContentType="application/vnd.openxmlformats-officedocument.oleObject"/>
  <Override PartName="/xl/activeX/activeX33.bin" ContentType="application/vnd.ms-office.activeX"/>
  <Override PartName="/xl/activeX/activeX38.xml" ContentType="application/vnd.ms-office.activeX+xml"/>
  <Override PartName="/xl/embeddings/oleObject51.bin" ContentType="application/vnd.openxmlformats-officedocument.oleObject"/>
  <Override PartName="/xl/worksheets/sheet8.xml" ContentType="application/vnd.openxmlformats-officedocument.spreadsheetml.worksheet+xml"/>
  <Default Extension="emf" ContentType="image/x-emf"/>
  <Override PartName="/xl/activeX/activeX6.xml" ContentType="application/vnd.ms-office.activeX+xml"/>
  <Override PartName="/xl/embeddings/oleObject11.bin" ContentType="application/vnd.openxmlformats-officedocument.oleObject"/>
  <Override PartName="/xl/activeX/activeX11.bin" ContentType="application/vnd.ms-office.activeX"/>
  <Override PartName="/xl/activeX/activeX27.xml" ContentType="application/vnd.ms-office.activeX+xml"/>
  <Override PartName="/xl/activeX/activeX40.bin" ContentType="application/vnd.ms-office.activeX"/>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harts/chart1.xml" ContentType="application/vnd.openxmlformats-officedocument.drawingml.chart+xml"/>
  <Override PartName="/xl/activeX/activeX2.xml" ContentType="application/vnd.ms-office.activeX+xml"/>
  <Override PartName="/xl/drawings/drawing3.xml" ContentType="application/vnd.openxmlformats-officedocument.drawing+xml"/>
  <Override PartName="/xl/activeX/activeX16.xml" ContentType="application/vnd.ms-office.activeX+xml"/>
  <Override PartName="/xl/activeX/activeX34.xml" ContentType="application/vnd.ms-office.activeX+xml"/>
  <Override PartName="/docProps/app.xml" ContentType="application/vnd.openxmlformats-officedocument.extended-properties+xml"/>
  <Override PartName="/xl/activeX/activeX23.xml" ContentType="application/vnd.ms-office.activeX+xml"/>
  <Override PartName="/xl/charts/chart28.xml" ContentType="application/vnd.openxmlformats-officedocument.drawingml.chart+xml"/>
  <Default Extension="vml" ContentType="application/vnd.openxmlformats-officedocument.vmlDrawing"/>
  <Override PartName="/xl/activeX/activeX12.xml" ContentType="application/vnd.ms-office.activeX+xml"/>
  <Override PartName="/xl/activeX/activeX30.xml" ContentType="application/vnd.ms-office.activeX+xml"/>
  <Override PartName="/xl/charts/chart17.xml" ContentType="application/vnd.openxmlformats-officedocument.drawingml.chart+xml"/>
  <Override PartName="/xl/embeddings/oleObject49.bin" ContentType="application/vnd.openxmlformats-officedocument.oleObject"/>
  <Override PartName="/xl/calcChain.xml" ContentType="application/vnd.openxmlformats-officedocument.spreadsheetml.calcChain+xml"/>
  <Override PartName="/xl/charts/chart13.xml" ContentType="application/vnd.openxmlformats-officedocument.drawingml.chart+xml"/>
  <Override PartName="/xl/drawings/drawing10.xml" ContentType="application/vnd.openxmlformats-officedocument.drawing+xml"/>
  <Override PartName="/xl/embeddings/oleObject38.bin" ContentType="application/vnd.openxmlformats-officedocument.oleObject"/>
  <Override PartName="/xl/activeX/activeX38.bin" ContentType="application/vnd.ms-office.activeX"/>
  <Override PartName="/xl/charts/chart24.xml" ContentType="application/vnd.openxmlformats-officedocument.drawingml.chart+xml"/>
  <Override PartName="/xl/activeX/activeX6.bin" ContentType="application/vnd.ms-office.activeX"/>
  <Override PartName="/xl/embeddings/oleObject16.bin" ContentType="application/vnd.openxmlformats-officedocument.oleObject"/>
  <Override PartName="/xl/activeX/activeX27.bin" ContentType="application/vnd.ms-office.activeX"/>
  <Override PartName="/xl/embeddings/oleObject27.bin" ContentType="application/vnd.openxmlformats-officedocument.oleObject"/>
  <Override PartName="/xl/embeddings/oleObject45.bin" ContentType="application/vnd.openxmlformats-officedocument.oleObject"/>
  <Override PartName="/docProps/core.xml" ContentType="application/vnd.openxmlformats-package.core-properties+xml"/>
  <Override PartName="/xl/activeX/activeX2.bin" ContentType="application/vnd.ms-office.activeX"/>
  <Override PartName="/xl/activeX/activeX16.bin" ContentType="application/vnd.ms-office.activeX"/>
  <Override PartName="/xl/charts/chart6.xml" ContentType="application/vnd.openxmlformats-officedocument.drawingml.chart+xml"/>
  <Override PartName="/xl/embeddings/oleObject23.bin" ContentType="application/vnd.openxmlformats-officedocument.oleObject"/>
  <Override PartName="/xl/embeddings/oleObject34.bin" ContentType="application/vnd.openxmlformats-officedocument.oleObject"/>
  <Override PartName="/xl/charts/chart20.xml" ContentType="application/vnd.openxmlformats-officedocument.drawingml.chart+xml"/>
  <Override PartName="/xl/activeX/activeX34.bin" ContentType="application/vnd.ms-office.activeX"/>
  <Override PartName="/xl/worksheets/sheet9.xml" ContentType="application/vnd.openxmlformats-officedocument.spreadsheetml.worksheet+xml"/>
  <Override PartName="/xl/theme/theme1.xml" ContentType="application/vnd.openxmlformats-officedocument.theme+xml"/>
  <Override PartName="/xl/embeddings/oleObject6.bin" ContentType="application/vnd.openxmlformats-officedocument.oleObject"/>
  <Override PartName="/xl/activeX/activeX7.xml" ContentType="application/vnd.ms-office.activeX+xml"/>
  <Override PartName="/xl/embeddings/oleObject12.bin" ContentType="application/vnd.openxmlformats-officedocument.oleObject"/>
  <Override PartName="/xl/activeX/activeX23.bin" ContentType="application/vnd.ms-office.activeX"/>
  <Override PartName="/xl/drawings/drawing8.xml" ContentType="application/vnd.openxmlformats-officedocument.drawingml.chartshapes+xml"/>
  <Override PartName="/xl/embeddings/oleObject41.bin" ContentType="application/vnd.openxmlformats-officedocument.oleObject"/>
  <Override PartName="/xl/activeX/activeX39.xml" ContentType="application/vnd.ms-office.activeX+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activeX/activeX12.bin" ContentType="application/vnd.ms-office.activeX"/>
  <Override PartName="/xl/activeX/activeX17.xml" ContentType="application/vnd.ms-office.activeX+xml"/>
  <Override PartName="/xl/activeX/activeX28.xml" ContentType="application/vnd.ms-office.activeX+xml"/>
  <Override PartName="/xl/activeX/activeX30.bin" ContentType="application/vnd.ms-office.activeX"/>
  <Override PartName="/xl/embeddings/oleObject30.bin" ContentType="application/vnd.openxmlformats-officedocument.oleObject"/>
  <Default Extension="rels" ContentType="application/vnd.openxmlformats-package.relationships+xml"/>
  <Override PartName="/xl/worksheets/sheet5.xml" ContentType="application/vnd.openxmlformats-officedocument.spreadsheetml.worksheet+xml"/>
  <Override PartName="/xl/embeddings/oleObject2.bin" ContentType="application/vnd.openxmlformats-officedocument.oleObject"/>
  <Override PartName="/xl/activeX/activeX3.xml" ContentType="application/vnd.ms-office.activeX+xml"/>
  <Override PartName="/xl/activeX/activeX24.xml" ContentType="application/vnd.ms-office.activeX+xml"/>
  <Override PartName="/xl/activeX/activeX35.xml" ContentType="application/vnd.ms-office.activeX+xml"/>
  <Override PartName="/xl/charts/chart29.xml" ContentType="application/vnd.openxmlformats-officedocument.drawingml.chart+xml"/>
  <Override PartName="/xl/activeX/activeX13.xml" ContentType="application/vnd.ms-office.activeX+xml"/>
  <Override PartName="/xl/charts/chart18.xml" ContentType="application/vnd.openxmlformats-officedocument.drawingml.chart+xml"/>
  <Override PartName="/xl/worksheets/sheet1.xml" ContentType="application/vnd.openxmlformats-officedocument.spreadsheetml.worksheet+xml"/>
  <Override PartName="/xl/activeX/activeX20.xml" ContentType="application/vnd.ms-office.activeX+xml"/>
  <Override PartName="/xl/activeX/activeX31.xml" ContentType="application/vnd.ms-office.activeX+xml"/>
  <Override PartName="/xl/embeddings/oleObject39.bin" ContentType="application/vnd.openxmlformats-officedocument.oleObject"/>
  <Override PartName="/xl/drawings/drawing11.xml" ContentType="application/vnd.openxmlformats-officedocument.drawing+xml"/>
  <Override PartName="/xl/charts/chart25.xml" ContentType="application/vnd.openxmlformats-officedocument.drawingml.chart+xml"/>
  <Override PartName="/xl/activeX/activeX7.bin" ContentType="application/vnd.ms-office.activeX"/>
  <Override PartName="/xl/charts/chart14.xml" ContentType="application/vnd.openxmlformats-officedocument.drawingml.chart+xml"/>
  <Override PartName="/xl/embeddings/oleObject28.bin" ContentType="application/vnd.openxmlformats-officedocument.oleObject"/>
  <Override PartName="/xl/embeddings/oleObject46.bin" ContentType="application/vnd.openxmlformats-officedocument.oleObject"/>
  <Override PartName="/xl/activeX/activeX39.bin" ContentType="application/vnd.ms-office.activeX"/>
  <Override PartName="/xl/activeX/activeX17.bin" ContentType="application/vnd.ms-office.activeX"/>
  <Override PartName="/xl/embeddings/oleObject17.bin" ContentType="application/vnd.openxmlformats-officedocument.oleObject"/>
  <Override PartName="/xl/activeX/activeX28.bin" ContentType="application/vnd.ms-office.activeX"/>
  <Override PartName="/xl/embeddings/oleObject35.bin" ContentType="application/vnd.openxmlformats-officedocument.oleObject"/>
  <Override PartName="/xl/charts/chart21.xml" ContentType="application/vnd.openxmlformats-officedocument.drawingml.chart+xml"/>
  <Override PartName="/xl/activeX/activeX3.bin" ContentType="application/vnd.ms-office.activeX"/>
  <Override PartName="/xl/embeddings/oleObject7.bin" ContentType="application/vnd.openxmlformats-officedocument.oleObject"/>
  <Override PartName="/xl/charts/chart7.xml" ContentType="application/vnd.openxmlformats-officedocument.drawingml.chart+xml"/>
  <Override PartName="/xl/charts/chart10.xml" ContentType="application/vnd.openxmlformats-officedocument.drawingml.chart+xml"/>
  <Override PartName="/xl/embeddings/oleObject24.bin" ContentType="application/vnd.openxmlformats-officedocument.oleObject"/>
  <Override PartName="/xl/drawings/drawing9.xml" ContentType="application/vnd.openxmlformats-officedocument.drawing+xml"/>
  <Override PartName="/xl/embeddings/oleObject42.bin" ContentType="application/vnd.openxmlformats-officedocument.oleObject"/>
  <Override PartName="/xl/activeX/activeX35.bin" ContentType="application/vnd.ms-office.activeX"/>
  <Override PartName="/xl/activeX/activeX8.xml" ContentType="application/vnd.ms-office.activeX+xml"/>
  <Override PartName="/xl/activeX/activeX13.bin" ContentType="application/vnd.ms-office.activeX"/>
  <Override PartName="/xl/embeddings/oleObject13.bin" ContentType="application/vnd.openxmlformats-officedocument.oleObject"/>
  <Override PartName="/xl/activeX/activeX24.bin" ContentType="application/vnd.ms-office.activeX"/>
  <Override PartName="/xl/activeX/activeX29.xml" ContentType="application/vnd.ms-office.activeX+xml"/>
  <Override PartName="/xl/embeddings/oleObject31.bin" ContentType="application/vnd.openxmlformats-officedocument.oleObject"/>
  <Override PartName="/xl/worksheets/sheet6.xml" ContentType="application/vnd.openxmlformats-officedocument.spreadsheetml.worksheet+xml"/>
  <Override PartName="/xl/embeddings/oleObject3.bin" ContentType="application/vnd.openxmlformats-officedocument.oleObject"/>
  <Override PartName="/xl/charts/chart3.xml" ContentType="application/vnd.openxmlformats-officedocument.drawingml.chart+xml"/>
  <Override PartName="/xl/drawings/drawing5.xml" ContentType="application/vnd.openxmlformats-officedocument.drawing+xml"/>
  <Override PartName="/xl/activeX/activeX18.xml" ContentType="application/vnd.ms-office.activeX+xml"/>
  <Override PartName="/xl/activeX/activeX20.bin" ContentType="application/vnd.ms-office.activeX"/>
  <Override PartName="/xl/activeX/activeX31.bin" ContentType="application/vnd.ms-office.activeX"/>
  <Override PartName="/xl/embeddings/oleObject20.bin" ContentType="application/vnd.openxmlformats-officedocument.oleObject"/>
  <Default Extension="jpeg" ContentType="image/jpeg"/>
  <Override PartName="/xl/activeX/activeX36.xml" ContentType="application/vnd.ms-office.activeX+xml"/>
  <Override PartName="/xl/activeX/activeX4.xml" ContentType="application/vnd.ms-office.activeX+xml"/>
  <Override PartName="/xl/activeX/activeX25.xml" ContentType="application/vnd.ms-office.activeX+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charts/chart19.xml" ContentType="application/vnd.openxmlformats-officedocument.drawingml.chart+xml"/>
  <Override PartName="/xl/activeX/activeX32.xml" ContentType="application/vnd.ms-office.activeX+xml"/>
  <Override PartName="/xl/activeX/activeX21.xml" ContentType="application/vnd.ms-office.activeX+xml"/>
  <Override PartName="/xl/drawings/drawing12.xml" ContentType="application/vnd.openxmlformats-officedocument.drawing+xml"/>
  <Override PartName="/xl/charts/chart26.xml" ContentType="application/vnd.openxmlformats-officedocument.drawingml.chart+xml"/>
  <Override PartName="/xl/activeX/activeX8.bin" ContentType="application/vnd.ms-office.activeX"/>
  <Override PartName="/xl/activeX/activeX10.xml" ContentType="application/vnd.ms-office.activeX+xml"/>
  <Override PartName="/xl/embeddings/oleObject18.bin" ContentType="application/vnd.openxmlformats-officedocument.oleObject"/>
  <Override PartName="/xl/activeX/activeX29.bin" ContentType="application/vnd.ms-office.activeX"/>
  <Override PartName="/xl/charts/chart15.xml" ContentType="application/vnd.openxmlformats-officedocument.drawingml.chart+xml"/>
  <Override PartName="/xl/embeddings/oleObject29.bin" ContentType="application/vnd.openxmlformats-officedocument.oleObject"/>
  <Override PartName="/xl/embeddings/oleObject47.bin" ContentType="application/vnd.openxmlformats-officedocument.oleObject"/>
  <Override PartName="/xl/charts/chart8.xml" ContentType="application/vnd.openxmlformats-officedocument.drawingml.chart+xml"/>
  <Override PartName="/xl/activeX/activeX18.bin" ContentType="application/vnd.ms-office.activeX"/>
  <Override PartName="/xl/charts/chart11.xml" ContentType="application/vnd.openxmlformats-officedocument.drawingml.chart+xml"/>
  <Override PartName="/xl/embeddings/oleObject25.bin" ContentType="application/vnd.openxmlformats-officedocument.oleObject"/>
  <Override PartName="/xl/embeddings/oleObject36.bin" ContentType="application/vnd.openxmlformats-officedocument.oleObject"/>
  <Override PartName="/xl/charts/chart22.xml" ContentType="application/vnd.openxmlformats-officedocument.drawingml.chart+xml"/>
  <Override PartName="/xl/activeX/activeX36.bin" ContentType="application/vnd.ms-office.activeX"/>
  <Override PartName="/xl/activeX/activeX9.xml" ContentType="application/vnd.ms-office.activeX+xml"/>
  <Override PartName="/xl/embeddings/oleObject14.bin" ContentType="application/vnd.openxmlformats-officedocument.oleObject"/>
  <Override PartName="/xl/activeX/activeX25.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35" windowWidth="15480" windowHeight="11640"/>
  </bookViews>
  <sheets>
    <sheet name="1" sheetId="5" r:id="rId1"/>
    <sheet name="2" sheetId="1" r:id="rId2"/>
    <sheet name="3" sheetId="6" r:id="rId3"/>
    <sheet name="4_5" sheetId="7" r:id="rId4"/>
    <sheet name="6" sheetId="9" r:id="rId5"/>
    <sheet name="7" sheetId="10" r:id="rId6"/>
    <sheet name="8" sheetId="11" r:id="rId7"/>
    <sheet name="9" sheetId="12" r:id="rId8"/>
    <sheet name="10" sheetId="13" r:id="rId9"/>
    <sheet name="11_12" sheetId="14" r:id="rId10"/>
    <sheet name="13" sheetId="15" r:id="rId11"/>
  </sheets>
  <definedNames>
    <definedName name="solver_adj" localSheetId="9" hidden="1">'11_12'!$K$134</definedName>
    <definedName name="solver_cvg" localSheetId="9" hidden="1">0.0001</definedName>
    <definedName name="solver_drv" localSheetId="9" hidden="1">1</definedName>
    <definedName name="solver_eng" localSheetId="9" hidden="1">1</definedName>
    <definedName name="solver_est" localSheetId="9" hidden="1">1</definedName>
    <definedName name="solver_itr" localSheetId="9" hidden="1">100</definedName>
    <definedName name="solver_lin" localSheetId="9" hidden="1">2</definedName>
    <definedName name="solver_mip" localSheetId="9" hidden="1">2147483647</definedName>
    <definedName name="solver_mni" localSheetId="9" hidden="1">30</definedName>
    <definedName name="solver_mrt" localSheetId="9" hidden="1">0.075</definedName>
    <definedName name="solver_msl" localSheetId="9" hidden="1">2</definedName>
    <definedName name="solver_neg" localSheetId="9" hidden="1">2</definedName>
    <definedName name="solver_nod" localSheetId="9" hidden="1">2147483647</definedName>
    <definedName name="solver_num" localSheetId="9" hidden="1">0</definedName>
    <definedName name="solver_nwt" localSheetId="9" hidden="1">1</definedName>
    <definedName name="solver_opt" localSheetId="9" hidden="1">'11_12'!$L$133</definedName>
    <definedName name="solver_pre" localSheetId="9" hidden="1">0.000001</definedName>
    <definedName name="solver_rbv" localSheetId="9" hidden="1">1</definedName>
    <definedName name="solver_rlx" localSheetId="9" hidden="1">2</definedName>
    <definedName name="solver_rsd" localSheetId="9" hidden="1">0</definedName>
    <definedName name="solver_scl" localSheetId="9" hidden="1">2</definedName>
    <definedName name="solver_sho" localSheetId="9" hidden="1">2</definedName>
    <definedName name="solver_ssz" localSheetId="9" hidden="1">100</definedName>
    <definedName name="solver_tim" localSheetId="9" hidden="1">100</definedName>
    <definedName name="solver_tol" localSheetId="9" hidden="1">0.05</definedName>
    <definedName name="solver_typ" localSheetId="9" hidden="1">2</definedName>
    <definedName name="solver_val" localSheetId="9" hidden="1">0</definedName>
    <definedName name="solver_ver" localSheetId="9" hidden="1">3</definedName>
  </definedNames>
  <calcPr calcId="125725"/>
</workbook>
</file>

<file path=xl/calcChain.xml><?xml version="1.0" encoding="utf-8"?>
<calcChain xmlns="http://schemas.openxmlformats.org/spreadsheetml/2006/main">
  <c r="E39" i="15"/>
  <c r="E40"/>
  <c r="E41"/>
  <c r="E42"/>
  <c r="E43"/>
  <c r="E44"/>
  <c r="E45"/>
  <c r="E46"/>
  <c r="E47"/>
  <c r="E48"/>
  <c r="E38"/>
  <c r="F38" s="1"/>
  <c r="G38" s="1"/>
  <c r="B40"/>
  <c r="B41"/>
  <c r="B42"/>
  <c r="B43"/>
  <c r="B44"/>
  <c r="B45"/>
  <c r="B46"/>
  <c r="B47"/>
  <c r="B48"/>
  <c r="B39"/>
  <c r="F39" l="1"/>
  <c r="G39" s="1"/>
  <c r="F43"/>
  <c r="G43" s="1"/>
  <c r="F41"/>
  <c r="G41" s="1"/>
  <c r="F48"/>
  <c r="G48" s="1"/>
  <c r="F42"/>
  <c r="G42" s="1"/>
  <c r="F40"/>
  <c r="G40" s="1"/>
  <c r="F45"/>
  <c r="G45" s="1"/>
  <c r="F47"/>
  <c r="G47" s="1"/>
  <c r="F44"/>
  <c r="G44" s="1"/>
  <c r="F46"/>
  <c r="G46" s="1"/>
  <c r="AC44" i="14"/>
  <c r="AB44"/>
  <c r="AA45"/>
  <c r="C48"/>
  <c r="C41"/>
  <c r="C51" s="1"/>
  <c r="AD44" l="1"/>
  <c r="AB45"/>
  <c r="AC45"/>
  <c r="AA46"/>
  <c r="AB46" s="1"/>
  <c r="F51"/>
  <c r="C24"/>
  <c r="C14"/>
  <c r="F27" l="1"/>
  <c r="AD45"/>
  <c r="AC46"/>
  <c r="AD46" s="1"/>
  <c r="AA47"/>
  <c r="AB47" s="1"/>
  <c r="C27"/>
  <c r="J187"/>
  <c r="H187"/>
  <c r="J186"/>
  <c r="H186"/>
  <c r="J185"/>
  <c r="H185"/>
  <c r="J184"/>
  <c r="H184"/>
  <c r="J183"/>
  <c r="H183"/>
  <c r="J182"/>
  <c r="H182"/>
  <c r="J181"/>
  <c r="H181"/>
  <c r="J180"/>
  <c r="H180"/>
  <c r="J179"/>
  <c r="H179"/>
  <c r="J178"/>
  <c r="H178"/>
  <c r="J177"/>
  <c r="H177"/>
  <c r="J176"/>
  <c r="H176"/>
  <c r="J175"/>
  <c r="H175"/>
  <c r="J174"/>
  <c r="H174"/>
  <c r="J173"/>
  <c r="H173"/>
  <c r="J172"/>
  <c r="H172"/>
  <c r="J171"/>
  <c r="H171"/>
  <c r="J170"/>
  <c r="H170"/>
  <c r="J169"/>
  <c r="H169"/>
  <c r="J168"/>
  <c r="H168"/>
  <c r="J167"/>
  <c r="H167"/>
  <c r="J166"/>
  <c r="H166"/>
  <c r="J165"/>
  <c r="H165"/>
  <c r="J164"/>
  <c r="H164"/>
  <c r="J163"/>
  <c r="H163"/>
  <c r="J162"/>
  <c r="H162"/>
  <c r="J161"/>
  <c r="H161"/>
  <c r="J160"/>
  <c r="H160"/>
  <c r="J159"/>
  <c r="H159"/>
  <c r="J158"/>
  <c r="H158"/>
  <c r="J157"/>
  <c r="H157"/>
  <c r="J156"/>
  <c r="H156"/>
  <c r="J155"/>
  <c r="H155"/>
  <c r="J154"/>
  <c r="H154"/>
  <c r="J153"/>
  <c r="H153"/>
  <c r="J152"/>
  <c r="H152"/>
  <c r="J151"/>
  <c r="H151"/>
  <c r="J150"/>
  <c r="H150"/>
  <c r="J149"/>
  <c r="H149"/>
  <c r="J148"/>
  <c r="H148"/>
  <c r="J147"/>
  <c r="H147"/>
  <c r="J146"/>
  <c r="H146"/>
  <c r="J145"/>
  <c r="H145"/>
  <c r="J144"/>
  <c r="H144"/>
  <c r="J143"/>
  <c r="H143"/>
  <c r="J142"/>
  <c r="H142"/>
  <c r="J141"/>
  <c r="H141"/>
  <c r="J140"/>
  <c r="H140"/>
  <c r="J139"/>
  <c r="H139"/>
  <c r="J138"/>
  <c r="H138"/>
  <c r="J137"/>
  <c r="H137"/>
  <c r="J136"/>
  <c r="H136"/>
  <c r="J135"/>
  <c r="H135"/>
  <c r="J134"/>
  <c r="H134"/>
  <c r="J133"/>
  <c r="H133"/>
  <c r="J132"/>
  <c r="H132"/>
  <c r="J131"/>
  <c r="H131"/>
  <c r="J130"/>
  <c r="H130"/>
  <c r="J129"/>
  <c r="H129"/>
  <c r="J128"/>
  <c r="H128"/>
  <c r="J127"/>
  <c r="H127"/>
  <c r="E101"/>
  <c r="E89"/>
  <c r="E83"/>
  <c r="I72"/>
  <c r="B104" s="1"/>
  <c r="C187" l="1"/>
  <c r="B224"/>
  <c r="I90"/>
  <c r="AA48"/>
  <c r="AB48" s="1"/>
  <c r="AC47"/>
  <c r="AD47" s="1"/>
  <c r="I89"/>
  <c r="I91" s="1"/>
  <c r="D223" s="1"/>
  <c r="B125"/>
  <c r="H125" s="1"/>
  <c r="D224"/>
  <c r="D218"/>
  <c r="D216"/>
  <c r="D215"/>
  <c r="D214"/>
  <c r="D213"/>
  <c r="D212"/>
  <c r="D211"/>
  <c r="D210"/>
  <c r="D209"/>
  <c r="D208"/>
  <c r="D207"/>
  <c r="D206"/>
  <c r="D205"/>
  <c r="D204"/>
  <c r="D203"/>
  <c r="D202"/>
  <c r="D201"/>
  <c r="D200"/>
  <c r="D199"/>
  <c r="D198"/>
  <c r="D197"/>
  <c r="D196"/>
  <c r="D195"/>
  <c r="D194"/>
  <c r="D193"/>
  <c r="D192"/>
  <c r="D191"/>
  <c r="D190"/>
  <c r="D189"/>
  <c r="D188"/>
  <c r="D186"/>
  <c r="D184"/>
  <c r="D182"/>
  <c r="D180"/>
  <c r="D178"/>
  <c r="D176"/>
  <c r="D174"/>
  <c r="D172"/>
  <c r="D170"/>
  <c r="D168"/>
  <c r="D166"/>
  <c r="D164"/>
  <c r="D162"/>
  <c r="D160"/>
  <c r="D158"/>
  <c r="D156"/>
  <c r="D154"/>
  <c r="D152"/>
  <c r="D150"/>
  <c r="D148"/>
  <c r="D146"/>
  <c r="D144"/>
  <c r="D142"/>
  <c r="D140"/>
  <c r="D138"/>
  <c r="D136"/>
  <c r="D134"/>
  <c r="D132"/>
  <c r="D130"/>
  <c r="D128"/>
  <c r="D187"/>
  <c r="D185"/>
  <c r="D183"/>
  <c r="D181"/>
  <c r="D179"/>
  <c r="D177"/>
  <c r="D175"/>
  <c r="D173"/>
  <c r="D171"/>
  <c r="D169"/>
  <c r="D167"/>
  <c r="D165"/>
  <c r="D163"/>
  <c r="D161"/>
  <c r="D159"/>
  <c r="D157"/>
  <c r="D155"/>
  <c r="D153"/>
  <c r="D151"/>
  <c r="D149"/>
  <c r="D147"/>
  <c r="D145"/>
  <c r="D143"/>
  <c r="D141"/>
  <c r="D139"/>
  <c r="D137"/>
  <c r="D135"/>
  <c r="D133"/>
  <c r="D131"/>
  <c r="D129"/>
  <c r="D127"/>
  <c r="D126"/>
  <c r="D125"/>
  <c r="B126"/>
  <c r="B127"/>
  <c r="C128"/>
  <c r="B129"/>
  <c r="C130"/>
  <c r="B131"/>
  <c r="C132"/>
  <c r="B133"/>
  <c r="C134"/>
  <c r="B135"/>
  <c r="C136"/>
  <c r="B137"/>
  <c r="C138"/>
  <c r="B139"/>
  <c r="C140"/>
  <c r="B141"/>
  <c r="C142"/>
  <c r="B143"/>
  <c r="C144"/>
  <c r="B145"/>
  <c r="C146"/>
  <c r="B147"/>
  <c r="C148"/>
  <c r="B149"/>
  <c r="C150"/>
  <c r="B151"/>
  <c r="C152"/>
  <c r="B153"/>
  <c r="C154"/>
  <c r="B155"/>
  <c r="C156"/>
  <c r="B157"/>
  <c r="C158"/>
  <c r="B159"/>
  <c r="C160"/>
  <c r="B161"/>
  <c r="C162"/>
  <c r="B163"/>
  <c r="C164"/>
  <c r="B165"/>
  <c r="C166"/>
  <c r="B167"/>
  <c r="C168"/>
  <c r="B169"/>
  <c r="C170"/>
  <c r="B171"/>
  <c r="C172"/>
  <c r="B173"/>
  <c r="C174"/>
  <c r="B175"/>
  <c r="C176"/>
  <c r="B177"/>
  <c r="C178"/>
  <c r="B179"/>
  <c r="C180"/>
  <c r="B181"/>
  <c r="C182"/>
  <c r="B183"/>
  <c r="C184"/>
  <c r="B185"/>
  <c r="C186"/>
  <c r="B187"/>
  <c r="E187" s="1"/>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E224" s="1"/>
  <c r="E91"/>
  <c r="C125"/>
  <c r="C126"/>
  <c r="C127"/>
  <c r="B128"/>
  <c r="E128" s="1"/>
  <c r="C129"/>
  <c r="B130"/>
  <c r="E130" s="1"/>
  <c r="C131"/>
  <c r="B132"/>
  <c r="E132" s="1"/>
  <c r="C133"/>
  <c r="B134"/>
  <c r="E134" s="1"/>
  <c r="C135"/>
  <c r="B136"/>
  <c r="E136" s="1"/>
  <c r="C137"/>
  <c r="B138"/>
  <c r="E138" s="1"/>
  <c r="C139"/>
  <c r="B140"/>
  <c r="E140" s="1"/>
  <c r="C141"/>
  <c r="B142"/>
  <c r="E142" s="1"/>
  <c r="C143"/>
  <c r="B144"/>
  <c r="E144" s="1"/>
  <c r="C145"/>
  <c r="B146"/>
  <c r="E146" s="1"/>
  <c r="C147"/>
  <c r="B148"/>
  <c r="E148" s="1"/>
  <c r="C149"/>
  <c r="B150"/>
  <c r="E150" s="1"/>
  <c r="C151"/>
  <c r="B152"/>
  <c r="E152" s="1"/>
  <c r="C153"/>
  <c r="B154"/>
  <c r="E154" s="1"/>
  <c r="C155"/>
  <c r="B156"/>
  <c r="E156" s="1"/>
  <c r="C157"/>
  <c r="B158"/>
  <c r="E158" s="1"/>
  <c r="C159"/>
  <c r="B160"/>
  <c r="E160" s="1"/>
  <c r="C161"/>
  <c r="B162"/>
  <c r="E162" s="1"/>
  <c r="C163"/>
  <c r="B164"/>
  <c r="E164" s="1"/>
  <c r="C165"/>
  <c r="B166"/>
  <c r="E166" s="1"/>
  <c r="C167"/>
  <c r="B168"/>
  <c r="E168" s="1"/>
  <c r="C169"/>
  <c r="B170"/>
  <c r="E170" s="1"/>
  <c r="C171"/>
  <c r="B172"/>
  <c r="E172" s="1"/>
  <c r="C173"/>
  <c r="B174"/>
  <c r="E174" s="1"/>
  <c r="C175"/>
  <c r="B176"/>
  <c r="E176" s="1"/>
  <c r="C177"/>
  <c r="B178"/>
  <c r="E178" s="1"/>
  <c r="C179"/>
  <c r="B180"/>
  <c r="E180" s="1"/>
  <c r="C181"/>
  <c r="B182"/>
  <c r="E182" s="1"/>
  <c r="C183"/>
  <c r="B184"/>
  <c r="E184" s="1"/>
  <c r="C185"/>
  <c r="B186"/>
  <c r="E186" s="1"/>
  <c r="B188"/>
  <c r="E188" s="1"/>
  <c r="B189"/>
  <c r="E189" s="1"/>
  <c r="B190"/>
  <c r="E190" s="1"/>
  <c r="B191"/>
  <c r="E191" s="1"/>
  <c r="B192"/>
  <c r="E192" s="1"/>
  <c r="B193"/>
  <c r="E193" s="1"/>
  <c r="B194"/>
  <c r="E194" s="1"/>
  <c r="B195"/>
  <c r="E195" s="1"/>
  <c r="B196"/>
  <c r="E196" s="1"/>
  <c r="B197"/>
  <c r="E197" s="1"/>
  <c r="B198"/>
  <c r="E198" s="1"/>
  <c r="B199"/>
  <c r="E199" s="1"/>
  <c r="B200"/>
  <c r="E200" s="1"/>
  <c r="B201"/>
  <c r="E201" s="1"/>
  <c r="B202"/>
  <c r="E202" s="1"/>
  <c r="B203"/>
  <c r="E203" s="1"/>
  <c r="B204"/>
  <c r="E204" s="1"/>
  <c r="B205"/>
  <c r="E205" s="1"/>
  <c r="B206"/>
  <c r="E206" s="1"/>
  <c r="B207"/>
  <c r="E207" s="1"/>
  <c r="B208"/>
  <c r="E208" s="1"/>
  <c r="B209"/>
  <c r="E209" s="1"/>
  <c r="B210"/>
  <c r="E210" s="1"/>
  <c r="B211"/>
  <c r="E211" s="1"/>
  <c r="B212"/>
  <c r="E212" s="1"/>
  <c r="B213"/>
  <c r="E213" s="1"/>
  <c r="B214"/>
  <c r="E214" s="1"/>
  <c r="B215"/>
  <c r="E215" s="1"/>
  <c r="B216"/>
  <c r="E216" s="1"/>
  <c r="B217"/>
  <c r="E217" s="1"/>
  <c r="B218"/>
  <c r="E218" s="1"/>
  <c r="B219"/>
  <c r="E219" s="1"/>
  <c r="B220"/>
  <c r="E220" s="1"/>
  <c r="B221"/>
  <c r="E221" s="1"/>
  <c r="B222"/>
  <c r="E222" s="1"/>
  <c r="B223"/>
  <c r="E223" s="1"/>
  <c r="D220" l="1"/>
  <c r="D217"/>
  <c r="D219"/>
  <c r="D222"/>
  <c r="D221"/>
  <c r="E125"/>
  <c r="AA49"/>
  <c r="AB49" s="1"/>
  <c r="AC48"/>
  <c r="AD48" s="1"/>
  <c r="E185"/>
  <c r="E183"/>
  <c r="I187"/>
  <c r="I185"/>
  <c r="I183"/>
  <c r="I181"/>
  <c r="I179"/>
  <c r="I177"/>
  <c r="I175"/>
  <c r="I173"/>
  <c r="I171"/>
  <c r="I169"/>
  <c r="I167"/>
  <c r="I165"/>
  <c r="I163"/>
  <c r="I161"/>
  <c r="I159"/>
  <c r="I157"/>
  <c r="I155"/>
  <c r="I153"/>
  <c r="I151"/>
  <c r="I149"/>
  <c r="I147"/>
  <c r="I145"/>
  <c r="I143"/>
  <c r="I141"/>
  <c r="I139"/>
  <c r="I137"/>
  <c r="I135"/>
  <c r="I133"/>
  <c r="I131"/>
  <c r="I129"/>
  <c r="I127"/>
  <c r="J125"/>
  <c r="I186"/>
  <c r="I184"/>
  <c r="I182"/>
  <c r="I180"/>
  <c r="I178"/>
  <c r="I176"/>
  <c r="I174"/>
  <c r="I172"/>
  <c r="I170"/>
  <c r="I168"/>
  <c r="I166"/>
  <c r="I164"/>
  <c r="I162"/>
  <c r="I160"/>
  <c r="I158"/>
  <c r="I156"/>
  <c r="I154"/>
  <c r="I152"/>
  <c r="I150"/>
  <c r="I148"/>
  <c r="I146"/>
  <c r="I144"/>
  <c r="I142"/>
  <c r="I140"/>
  <c r="I138"/>
  <c r="I136"/>
  <c r="I134"/>
  <c r="I132"/>
  <c r="I130"/>
  <c r="I128"/>
  <c r="E181"/>
  <c r="E179"/>
  <c r="E177"/>
  <c r="E175"/>
  <c r="E173"/>
  <c r="E171"/>
  <c r="E169"/>
  <c r="E167"/>
  <c r="E165"/>
  <c r="E163"/>
  <c r="E161"/>
  <c r="E159"/>
  <c r="E157"/>
  <c r="E155"/>
  <c r="E153"/>
  <c r="E151"/>
  <c r="E149"/>
  <c r="E147"/>
  <c r="E145"/>
  <c r="E143"/>
  <c r="E141"/>
  <c r="E139"/>
  <c r="E137"/>
  <c r="E135"/>
  <c r="E133"/>
  <c r="E131"/>
  <c r="E129"/>
  <c r="E127"/>
  <c r="E126"/>
  <c r="AA50" l="1"/>
  <c r="AB50" s="1"/>
  <c r="AC49"/>
  <c r="AD49" s="1"/>
  <c r="AA51" l="1"/>
  <c r="AB51" s="1"/>
  <c r="AC50"/>
  <c r="AD50" s="1"/>
  <c r="AA52" l="1"/>
  <c r="AB52" s="1"/>
  <c r="AC51"/>
  <c r="AD51" s="1"/>
  <c r="M73" i="13"/>
  <c r="F66"/>
  <c r="F65"/>
  <c r="F64"/>
  <c r="C58"/>
  <c r="C33"/>
  <c r="C32"/>
  <c r="C31"/>
  <c r="V3" s="1"/>
  <c r="AA53" i="14" l="1"/>
  <c r="AB53" s="1"/>
  <c r="AC52"/>
  <c r="AD52" s="1"/>
  <c r="B70" i="13"/>
  <c r="W3"/>
  <c r="V4"/>
  <c r="V5" s="1"/>
  <c r="V6" s="1"/>
  <c r="V7" s="1"/>
  <c r="V8" s="1"/>
  <c r="V9" s="1"/>
  <c r="V10" s="1"/>
  <c r="V11" s="1"/>
  <c r="V12" s="1"/>
  <c r="V13" s="1"/>
  <c r="V14" s="1"/>
  <c r="V15" s="1"/>
  <c r="V16" s="1"/>
  <c r="V17" s="1"/>
  <c r="V18" s="1"/>
  <c r="V19" s="1"/>
  <c r="V20" s="1"/>
  <c r="V21" s="1"/>
  <c r="V22" s="1"/>
  <c r="V23" s="1"/>
  <c r="V24" s="1"/>
  <c r="V25" s="1"/>
  <c r="V26" s="1"/>
  <c r="V27" s="1"/>
  <c r="V28" s="1"/>
  <c r="V29" s="1"/>
  <c r="V30" s="1"/>
  <c r="V31" s="1"/>
  <c r="V32" s="1"/>
  <c r="V33" s="1"/>
  <c r="V34" s="1"/>
  <c r="V35" s="1"/>
  <c r="V36" s="1"/>
  <c r="V37" s="1"/>
  <c r="V38" s="1"/>
  <c r="V39" s="1"/>
  <c r="V40" s="1"/>
  <c r="V41" s="1"/>
  <c r="V42" s="1"/>
  <c r="V43" s="1"/>
  <c r="V44" s="1"/>
  <c r="V45" s="1"/>
  <c r="V46" s="1"/>
  <c r="V47" s="1"/>
  <c r="V48" s="1"/>
  <c r="V49" s="1"/>
  <c r="V50" s="1"/>
  <c r="V51" s="1"/>
  <c r="V52" s="1"/>
  <c r="V53" s="1"/>
  <c r="V54" s="1"/>
  <c r="V55" s="1"/>
  <c r="V56" s="1"/>
  <c r="V57" s="1"/>
  <c r="V58" s="1"/>
  <c r="V59" s="1"/>
  <c r="V60" s="1"/>
  <c r="V61" s="1"/>
  <c r="U51"/>
  <c r="W2"/>
  <c r="U2"/>
  <c r="W12"/>
  <c r="U4"/>
  <c r="F58"/>
  <c r="U8"/>
  <c r="U10"/>
  <c r="U12"/>
  <c r="U14"/>
  <c r="U16"/>
  <c r="U18"/>
  <c r="U20"/>
  <c r="U22"/>
  <c r="U24"/>
  <c r="U26"/>
  <c r="U28"/>
  <c r="U30"/>
  <c r="U32"/>
  <c r="U34"/>
  <c r="U36"/>
  <c r="U38"/>
  <c r="U40"/>
  <c r="U42"/>
  <c r="U44"/>
  <c r="U46"/>
  <c r="U48"/>
  <c r="U50"/>
  <c r="U52"/>
  <c r="U3"/>
  <c r="U5"/>
  <c r="U6"/>
  <c r="U7"/>
  <c r="U9"/>
  <c r="U11"/>
  <c r="U13"/>
  <c r="U15"/>
  <c r="U17"/>
  <c r="U19"/>
  <c r="U21"/>
  <c r="U23"/>
  <c r="U25"/>
  <c r="U27"/>
  <c r="U29"/>
  <c r="U31"/>
  <c r="U33"/>
  <c r="U35"/>
  <c r="U37"/>
  <c r="U39"/>
  <c r="U41"/>
  <c r="U43"/>
  <c r="U45"/>
  <c r="U47"/>
  <c r="U49"/>
  <c r="AA54" i="14" l="1"/>
  <c r="AB54" s="1"/>
  <c r="AC53"/>
  <c r="AD53" s="1"/>
  <c r="W5" i="13"/>
  <c r="W4"/>
  <c r="W7"/>
  <c r="W6"/>
  <c r="W9"/>
  <c r="W13"/>
  <c r="W11"/>
  <c r="W8"/>
  <c r="W15"/>
  <c r="W10"/>
  <c r="W19"/>
  <c r="W58"/>
  <c r="W17"/>
  <c r="W39"/>
  <c r="W14"/>
  <c r="W21"/>
  <c r="W26"/>
  <c r="W25"/>
  <c r="W55"/>
  <c r="W42"/>
  <c r="W23"/>
  <c r="W31"/>
  <c r="W47"/>
  <c r="W18"/>
  <c r="W34"/>
  <c r="W50"/>
  <c r="W27"/>
  <c r="W35"/>
  <c r="W43"/>
  <c r="W51"/>
  <c r="W59"/>
  <c r="W22"/>
  <c r="W30"/>
  <c r="W38"/>
  <c r="W46"/>
  <c r="W54"/>
  <c r="W29"/>
  <c r="W33"/>
  <c r="W37"/>
  <c r="W41"/>
  <c r="W45"/>
  <c r="W49"/>
  <c r="W53"/>
  <c r="W57"/>
  <c r="W16"/>
  <c r="W20"/>
  <c r="W24"/>
  <c r="W28"/>
  <c r="W32"/>
  <c r="W36"/>
  <c r="W40"/>
  <c r="W44"/>
  <c r="W48"/>
  <c r="W52"/>
  <c r="W56"/>
  <c r="W60"/>
  <c r="W61"/>
  <c r="V62"/>
  <c r="C40" i="12"/>
  <c r="E95" s="1"/>
  <c r="F95" s="1"/>
  <c r="AA55" i="14" l="1"/>
  <c r="AB55" s="1"/>
  <c r="AC54"/>
  <c r="AD54" s="1"/>
  <c r="W62" i="13"/>
  <c r="V63"/>
  <c r="C38" i="12"/>
  <c r="E45"/>
  <c r="F45" s="1"/>
  <c r="E46"/>
  <c r="F46" s="1"/>
  <c r="E47"/>
  <c r="F47" s="1"/>
  <c r="E48"/>
  <c r="F48" s="1"/>
  <c r="E49"/>
  <c r="F49" s="1"/>
  <c r="E50"/>
  <c r="F50" s="1"/>
  <c r="E51"/>
  <c r="F51" s="1"/>
  <c r="E52"/>
  <c r="F52" s="1"/>
  <c r="E53"/>
  <c r="F53" s="1"/>
  <c r="E54"/>
  <c r="F54" s="1"/>
  <c r="E55"/>
  <c r="F55" s="1"/>
  <c r="E56"/>
  <c r="F56" s="1"/>
  <c r="E57"/>
  <c r="F57" s="1"/>
  <c r="E58"/>
  <c r="F58" s="1"/>
  <c r="E59"/>
  <c r="F59" s="1"/>
  <c r="E60"/>
  <c r="F60" s="1"/>
  <c r="E61"/>
  <c r="F61" s="1"/>
  <c r="E62"/>
  <c r="F62" s="1"/>
  <c r="E63"/>
  <c r="F63" s="1"/>
  <c r="E64"/>
  <c r="F64" s="1"/>
  <c r="E65"/>
  <c r="F65" s="1"/>
  <c r="E66"/>
  <c r="F66" s="1"/>
  <c r="E67"/>
  <c r="F67" s="1"/>
  <c r="E68"/>
  <c r="F68" s="1"/>
  <c r="E69"/>
  <c r="F69" s="1"/>
  <c r="E70"/>
  <c r="F70" s="1"/>
  <c r="E71"/>
  <c r="F71" s="1"/>
  <c r="E72"/>
  <c r="F72" s="1"/>
  <c r="E73"/>
  <c r="F73" s="1"/>
  <c r="E74"/>
  <c r="F74" s="1"/>
  <c r="E75"/>
  <c r="F75" s="1"/>
  <c r="E76"/>
  <c r="F76" s="1"/>
  <c r="E77"/>
  <c r="F77" s="1"/>
  <c r="E78"/>
  <c r="F78" s="1"/>
  <c r="E79"/>
  <c r="F79" s="1"/>
  <c r="E80"/>
  <c r="F80" s="1"/>
  <c r="E81"/>
  <c r="F81" s="1"/>
  <c r="E82"/>
  <c r="F82" s="1"/>
  <c r="E83"/>
  <c r="F83" s="1"/>
  <c r="E84"/>
  <c r="F84" s="1"/>
  <c r="E85"/>
  <c r="F85" s="1"/>
  <c r="E86"/>
  <c r="F86" s="1"/>
  <c r="E87"/>
  <c r="F87" s="1"/>
  <c r="E88"/>
  <c r="F88" s="1"/>
  <c r="E89"/>
  <c r="F89" s="1"/>
  <c r="E90"/>
  <c r="F90" s="1"/>
  <c r="E91"/>
  <c r="F91" s="1"/>
  <c r="E92"/>
  <c r="F92" s="1"/>
  <c r="E93"/>
  <c r="F93" s="1"/>
  <c r="E94"/>
  <c r="F94" s="1"/>
  <c r="AA56" i="14" l="1"/>
  <c r="AB56" s="1"/>
  <c r="AC55"/>
  <c r="AD55" s="1"/>
  <c r="W63" i="13"/>
  <c r="V64"/>
  <c r="C95" i="12"/>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D60"/>
  <c r="D55"/>
  <c r="D54"/>
  <c r="D95"/>
  <c r="D94"/>
  <c r="D93"/>
  <c r="D92"/>
  <c r="D91"/>
  <c r="D90"/>
  <c r="D89"/>
  <c r="D88"/>
  <c r="D87"/>
  <c r="D86"/>
  <c r="D85"/>
  <c r="D84"/>
  <c r="D83"/>
  <c r="D82"/>
  <c r="D81"/>
  <c r="D80"/>
  <c r="D79"/>
  <c r="D78"/>
  <c r="D77"/>
  <c r="D76"/>
  <c r="D75"/>
  <c r="D74"/>
  <c r="D73"/>
  <c r="D72"/>
  <c r="D71"/>
  <c r="D70"/>
  <c r="D69"/>
  <c r="D68"/>
  <c r="D67"/>
  <c r="D66"/>
  <c r="D65"/>
  <c r="D64"/>
  <c r="D63"/>
  <c r="D62"/>
  <c r="D61"/>
  <c r="D59"/>
  <c r="D58"/>
  <c r="D57"/>
  <c r="D56"/>
  <c r="D53"/>
  <c r="D52"/>
  <c r="D51"/>
  <c r="D50"/>
  <c r="D49"/>
  <c r="D48"/>
  <c r="D47"/>
  <c r="D46"/>
  <c r="D45"/>
  <c r="AA57" i="14" l="1"/>
  <c r="AB57" s="1"/>
  <c r="AC56"/>
  <c r="AD56" s="1"/>
  <c r="W64" i="13"/>
  <c r="V65"/>
  <c r="Z73" i="11"/>
  <c r="W53"/>
  <c r="X53" s="1"/>
  <c r="X52"/>
  <c r="AA58" i="14" l="1"/>
  <c r="AB58" s="1"/>
  <c r="AC57"/>
  <c r="AD57" s="1"/>
  <c r="W65" i="13"/>
  <c r="V66"/>
  <c r="W54" i="11"/>
  <c r="AA59" i="14" l="1"/>
  <c r="AB59" s="1"/>
  <c r="AC58"/>
  <c r="AD58" s="1"/>
  <c r="W66" i="13"/>
  <c r="V67"/>
  <c r="X54" i="11"/>
  <c r="W55"/>
  <c r="AA60" i="14" l="1"/>
  <c r="AB60" s="1"/>
  <c r="AC59"/>
  <c r="AD59" s="1"/>
  <c r="W67" i="13"/>
  <c r="V68"/>
  <c r="X55" i="11"/>
  <c r="W56"/>
  <c r="AA61" i="14" l="1"/>
  <c r="AB61" s="1"/>
  <c r="AC60"/>
  <c r="AD60" s="1"/>
  <c r="W68" i="13"/>
  <c r="V69"/>
  <c r="X56" i="11"/>
  <c r="W57"/>
  <c r="AA62" i="14" l="1"/>
  <c r="AB62" s="1"/>
  <c r="AC61"/>
  <c r="AD61" s="1"/>
  <c r="W69" i="13"/>
  <c r="V70"/>
  <c r="X57" i="11"/>
  <c r="W58"/>
  <c r="AA63" i="14" l="1"/>
  <c r="AB63" s="1"/>
  <c r="AC62"/>
  <c r="AD62" s="1"/>
  <c r="W70" i="13"/>
  <c r="V71"/>
  <c r="X58" i="11"/>
  <c r="W59"/>
  <c r="AA64" i="14" l="1"/>
  <c r="AB64" s="1"/>
  <c r="AC63"/>
  <c r="AD63" s="1"/>
  <c r="W71" i="13"/>
  <c r="V72"/>
  <c r="X59" i="11"/>
  <c r="W60"/>
  <c r="AA65" i="14" l="1"/>
  <c r="AB65" s="1"/>
  <c r="AC64"/>
  <c r="AD64" s="1"/>
  <c r="W72" i="13"/>
  <c r="V73"/>
  <c r="X60" i="11"/>
  <c r="W61"/>
  <c r="AA66" i="14" l="1"/>
  <c r="AB66" s="1"/>
  <c r="AC65"/>
  <c r="AD65" s="1"/>
  <c r="W73" i="13"/>
  <c r="V74"/>
  <c r="X61" i="11"/>
  <c r="W62"/>
  <c r="AA67" i="14" l="1"/>
  <c r="AB67" s="1"/>
  <c r="AC66"/>
  <c r="AD66" s="1"/>
  <c r="W74" i="13"/>
  <c r="V75"/>
  <c r="X62" i="11"/>
  <c r="W63"/>
  <c r="AA68" i="14" l="1"/>
  <c r="AB68" s="1"/>
  <c r="AC67"/>
  <c r="AD67" s="1"/>
  <c r="W75" i="13"/>
  <c r="V76"/>
  <c r="X63" i="11"/>
  <c r="W64"/>
  <c r="AA69" i="14" l="1"/>
  <c r="AC68"/>
  <c r="AD68" s="1"/>
  <c r="W76" i="13"/>
  <c r="V77"/>
  <c r="X64" i="11"/>
  <c r="W65"/>
  <c r="AB69" i="14" l="1"/>
  <c r="AA70"/>
  <c r="AC69"/>
  <c r="AD69" s="1"/>
  <c r="W77" i="13"/>
  <c r="V78"/>
  <c r="X65" i="11"/>
  <c r="W66"/>
  <c r="AB70" i="14" l="1"/>
  <c r="AC70"/>
  <c r="AA71"/>
  <c r="W78" i="13"/>
  <c r="V79"/>
  <c r="X66" i="11"/>
  <c r="W67"/>
  <c r="AB71" i="14" l="1"/>
  <c r="AC71"/>
  <c r="AA72"/>
  <c r="AD70"/>
  <c r="W79" i="13"/>
  <c r="V80"/>
  <c r="X67" i="11"/>
  <c r="W68"/>
  <c r="AB72" i="14" l="1"/>
  <c r="AA73"/>
  <c r="AC72"/>
  <c r="AD71"/>
  <c r="W80" i="13"/>
  <c r="V81"/>
  <c r="X68" i="11"/>
  <c r="W69"/>
  <c r="AB73" i="14" l="1"/>
  <c r="AC73"/>
  <c r="AA74"/>
  <c r="AD72"/>
  <c r="W81" i="13"/>
  <c r="V82"/>
  <c r="X69" i="11"/>
  <c r="W70"/>
  <c r="AB74" i="14" l="1"/>
  <c r="AC74"/>
  <c r="AA75"/>
  <c r="AD73"/>
  <c r="V83" i="13"/>
  <c r="W82"/>
  <c r="X70" i="11"/>
  <c r="W71"/>
  <c r="AB75" i="14" l="1"/>
  <c r="AC75"/>
  <c r="AA76"/>
  <c r="AD74"/>
  <c r="V84" i="13"/>
  <c r="W83"/>
  <c r="X71" i="11"/>
  <c r="W72"/>
  <c r="AB76" i="14" l="1"/>
  <c r="AC76"/>
  <c r="AA77"/>
  <c r="AD75"/>
  <c r="V85" i="13"/>
  <c r="W84"/>
  <c r="X72" i="11"/>
  <c r="W73"/>
  <c r="X73" s="1"/>
  <c r="C22" i="10"/>
  <c r="E46"/>
  <c r="F46" s="1"/>
  <c r="E47"/>
  <c r="F47" s="1"/>
  <c r="G47" s="1"/>
  <c r="I47" s="1"/>
  <c r="E48"/>
  <c r="F48" s="1"/>
  <c r="E49"/>
  <c r="F49" s="1"/>
  <c r="G49" s="1"/>
  <c r="I49" s="1"/>
  <c r="E45"/>
  <c r="F45" s="1"/>
  <c r="Y1"/>
  <c r="X2"/>
  <c r="X3" s="1"/>
  <c r="X4" s="1"/>
  <c r="X5" s="1"/>
  <c r="X6" s="1"/>
  <c r="X7" s="1"/>
  <c r="X8" s="1"/>
  <c r="X9" s="1"/>
  <c r="X10" s="1"/>
  <c r="X11" s="1"/>
  <c r="X12" s="1"/>
  <c r="X13" s="1"/>
  <c r="X14" s="1"/>
  <c r="X15" s="1"/>
  <c r="X16" s="1"/>
  <c r="X17" s="1"/>
  <c r="X18" s="1"/>
  <c r="X19" s="1"/>
  <c r="X20" s="1"/>
  <c r="X21" s="1"/>
  <c r="X22" s="1"/>
  <c r="X23" s="1"/>
  <c r="X24" s="1"/>
  <c r="X25" s="1"/>
  <c r="X26" s="1"/>
  <c r="X27" s="1"/>
  <c r="X28" s="1"/>
  <c r="G20"/>
  <c r="I20" s="1"/>
  <c r="G19"/>
  <c r="I19" s="1"/>
  <c r="G18"/>
  <c r="I18" s="1"/>
  <c r="G17"/>
  <c r="I17" s="1"/>
  <c r="G16"/>
  <c r="I16" s="1"/>
  <c r="AB77" i="14" l="1"/>
  <c r="AC77"/>
  <c r="AA78"/>
  <c r="AD76"/>
  <c r="V86" i="13"/>
  <c r="W85"/>
  <c r="K47" i="10"/>
  <c r="K49"/>
  <c r="Y28"/>
  <c r="X29"/>
  <c r="G48"/>
  <c r="I48" s="1"/>
  <c r="K48" s="1"/>
  <c r="G46"/>
  <c r="I46" s="1"/>
  <c r="K46" s="1"/>
  <c r="G45"/>
  <c r="I45" s="1"/>
  <c r="K45" s="1"/>
  <c r="Y26"/>
  <c r="Y24"/>
  <c r="Y22"/>
  <c r="Y20"/>
  <c r="Y18"/>
  <c r="Y16"/>
  <c r="Y14"/>
  <c r="Y12"/>
  <c r="Y10"/>
  <c r="Y8"/>
  <c r="Y6"/>
  <c r="Y4"/>
  <c r="Y2"/>
  <c r="Y27"/>
  <c r="Y25"/>
  <c r="Y23"/>
  <c r="Y21"/>
  <c r="Y19"/>
  <c r="Y17"/>
  <c r="Y15"/>
  <c r="Y13"/>
  <c r="Y11"/>
  <c r="Y9"/>
  <c r="Y7"/>
  <c r="Y5"/>
  <c r="Y3"/>
  <c r="AB78" i="14" l="1"/>
  <c r="AC78"/>
  <c r="AA79"/>
  <c r="AD77"/>
  <c r="V87" i="13"/>
  <c r="W86"/>
  <c r="K50" i="10"/>
  <c r="J45"/>
  <c r="L47" s="1"/>
  <c r="Y29"/>
  <c r="X30"/>
  <c r="AB79" i="14" l="1"/>
  <c r="AC79"/>
  <c r="AA80"/>
  <c r="AD78"/>
  <c r="V88" i="13"/>
  <c r="W87"/>
  <c r="L49" i="10"/>
  <c r="L48"/>
  <c r="L45"/>
  <c r="L46"/>
  <c r="Y30"/>
  <c r="X31"/>
  <c r="AB80" i="14" l="1"/>
  <c r="AC80"/>
  <c r="AA81"/>
  <c r="AD79"/>
  <c r="W88" i="13"/>
  <c r="V89"/>
  <c r="L50" i="10"/>
  <c r="Y31"/>
  <c r="X32"/>
  <c r="AB81" i="14" l="1"/>
  <c r="AC81"/>
  <c r="AA82"/>
  <c r="AD80"/>
  <c r="V90" i="13"/>
  <c r="W90" s="1"/>
  <c r="W89"/>
  <c r="Y32" i="10"/>
  <c r="X33"/>
  <c r="R73" i="9"/>
  <c r="M62"/>
  <c r="Q60"/>
  <c r="M73"/>
  <c r="D70"/>
  <c r="D73"/>
  <c r="H60" s="1"/>
  <c r="P72"/>
  <c r="G72"/>
  <c r="E73"/>
  <c r="N73" s="1"/>
  <c r="R65"/>
  <c r="I60"/>
  <c r="R60" s="1"/>
  <c r="E51"/>
  <c r="D42"/>
  <c r="B36"/>
  <c r="E35" s="1"/>
  <c r="A42"/>
  <c r="E34" s="1"/>
  <c r="E36" s="1"/>
  <c r="E48"/>
  <c r="G29"/>
  <c r="I29" s="1"/>
  <c r="H18"/>
  <c r="AD81" i="14" l="1"/>
  <c r="AB82"/>
  <c r="AC82"/>
  <c r="Y33" i="10"/>
  <c r="X34"/>
  <c r="Q65" i="9"/>
  <c r="K62" s="1"/>
  <c r="K66" s="1"/>
  <c r="L46"/>
  <c r="J36"/>
  <c r="H65"/>
  <c r="B70" s="1"/>
  <c r="N62"/>
  <c r="N67"/>
  <c r="AD82" i="14" l="1"/>
  <c r="Y34" i="10"/>
  <c r="X35"/>
  <c r="P73" i="9"/>
  <c r="Q73"/>
  <c r="H73"/>
  <c r="G73"/>
  <c r="B64"/>
  <c r="Y35" i="10" l="1"/>
  <c r="X36"/>
  <c r="I73" i="9"/>
  <c r="F103" i="7"/>
  <c r="C103"/>
  <c r="D103"/>
  <c r="E103"/>
  <c r="B74"/>
  <c r="B73"/>
  <c r="B72"/>
  <c r="B104" s="1"/>
  <c r="F104" s="1"/>
  <c r="B105" s="1"/>
  <c r="B71"/>
  <c r="Y36" i="10" l="1"/>
  <c r="X37"/>
  <c r="G103" i="7"/>
  <c r="H103" s="1"/>
  <c r="L103" s="1"/>
  <c r="F105"/>
  <c r="B106" s="1"/>
  <c r="F106" s="1"/>
  <c r="B107" s="1"/>
  <c r="F107" s="1"/>
  <c r="B108" s="1"/>
  <c r="F108" s="1"/>
  <c r="B109" s="1"/>
  <c r="F109" s="1"/>
  <c r="B110" s="1"/>
  <c r="F110" s="1"/>
  <c r="B111" s="1"/>
  <c r="F111" s="1"/>
  <c r="B112" s="1"/>
  <c r="F112" s="1"/>
  <c r="B113" s="1"/>
  <c r="F113" s="1"/>
  <c r="B114" s="1"/>
  <c r="F114" s="1"/>
  <c r="B115" s="1"/>
  <c r="F115" s="1"/>
  <c r="B116" s="1"/>
  <c r="F116" s="1"/>
  <c r="B117" s="1"/>
  <c r="F117" s="1"/>
  <c r="B118" s="1"/>
  <c r="F118" s="1"/>
  <c r="B119" s="1"/>
  <c r="F119" s="1"/>
  <c r="B120" s="1"/>
  <c r="F120" s="1"/>
  <c r="B121" s="1"/>
  <c r="F121" s="1"/>
  <c r="B122" s="1"/>
  <c r="F122" s="1"/>
  <c r="B123" s="1"/>
  <c r="F123" s="1"/>
  <c r="B124" s="1"/>
  <c r="F124" s="1"/>
  <c r="B125" s="1"/>
  <c r="F125" s="1"/>
  <c r="B126" s="1"/>
  <c r="F126" s="1"/>
  <c r="B127" s="1"/>
  <c r="F127" s="1"/>
  <c r="B128" s="1"/>
  <c r="F128" s="1"/>
  <c r="B129" s="1"/>
  <c r="F129" s="1"/>
  <c r="B130" s="1"/>
  <c r="F130" s="1"/>
  <c r="B131" s="1"/>
  <c r="F131" s="1"/>
  <c r="B132" s="1"/>
  <c r="F132" s="1"/>
  <c r="B133" s="1"/>
  <c r="F133" s="1"/>
  <c r="B134" s="1"/>
  <c r="F134" s="1"/>
  <c r="B135" s="1"/>
  <c r="F135" s="1"/>
  <c r="B136" s="1"/>
  <c r="F136" s="1"/>
  <c r="B137" s="1"/>
  <c r="F137" s="1"/>
  <c r="B138" s="1"/>
  <c r="F138" s="1"/>
  <c r="B139" s="1"/>
  <c r="F139" s="1"/>
  <c r="B140" s="1"/>
  <c r="F140" s="1"/>
  <c r="B141" s="1"/>
  <c r="F141" s="1"/>
  <c r="B142" s="1"/>
  <c r="F142" s="1"/>
  <c r="B143" s="1"/>
  <c r="F143" s="1"/>
  <c r="B144" s="1"/>
  <c r="F144" s="1"/>
  <c r="B145" s="1"/>
  <c r="F145" s="1"/>
  <c r="B146" s="1"/>
  <c r="F146" s="1"/>
  <c r="B147" s="1"/>
  <c r="F147" s="1"/>
  <c r="B148" s="1"/>
  <c r="F148" s="1"/>
  <c r="B149" s="1"/>
  <c r="F149" s="1"/>
  <c r="B150" s="1"/>
  <c r="F150" s="1"/>
  <c r="B151" s="1"/>
  <c r="F151" s="1"/>
  <c r="B152" s="1"/>
  <c r="F152" s="1"/>
  <c r="B153" s="1"/>
  <c r="F153" s="1"/>
  <c r="B154" s="1"/>
  <c r="F154" s="1"/>
  <c r="B155" s="1"/>
  <c r="F155" s="1"/>
  <c r="B156" s="1"/>
  <c r="F156" s="1"/>
  <c r="B157" s="1"/>
  <c r="F157" s="1"/>
  <c r="B158" s="1"/>
  <c r="F158" s="1"/>
  <c r="B159" s="1"/>
  <c r="F159" s="1"/>
  <c r="B160" s="1"/>
  <c r="F160" s="1"/>
  <c r="B161" s="1"/>
  <c r="F161" s="1"/>
  <c r="B162" s="1"/>
  <c r="F162" s="1"/>
  <c r="B163" s="1"/>
  <c r="F163" s="1"/>
  <c r="B164" s="1"/>
  <c r="F164" s="1"/>
  <c r="B165" s="1"/>
  <c r="F165" s="1"/>
  <c r="B166" s="1"/>
  <c r="F166" s="1"/>
  <c r="B167" s="1"/>
  <c r="F167" s="1"/>
  <c r="B168" s="1"/>
  <c r="F168" s="1"/>
  <c r="B169" s="1"/>
  <c r="F169" s="1"/>
  <c r="B170" s="1"/>
  <c r="F170" s="1"/>
  <c r="B171" s="1"/>
  <c r="F171" s="1"/>
  <c r="B172" s="1"/>
  <c r="F172" s="1"/>
  <c r="B173" s="1"/>
  <c r="F173" s="1"/>
  <c r="B174" s="1"/>
  <c r="F174" s="1"/>
  <c r="B175" s="1"/>
  <c r="F175" s="1"/>
  <c r="B176" s="1"/>
  <c r="F176" s="1"/>
  <c r="B177" s="1"/>
  <c r="F177" s="1"/>
  <c r="B178" s="1"/>
  <c r="F178" s="1"/>
  <c r="B179" s="1"/>
  <c r="F179" s="1"/>
  <c r="B180" s="1"/>
  <c r="F180" s="1"/>
  <c r="B181" s="1"/>
  <c r="F181" s="1"/>
  <c r="B182" s="1"/>
  <c r="F182" s="1"/>
  <c r="B183" s="1"/>
  <c r="F183" s="1"/>
  <c r="B184" s="1"/>
  <c r="F184" s="1"/>
  <c r="B185" s="1"/>
  <c r="F185" s="1"/>
  <c r="B186" s="1"/>
  <c r="F186" s="1"/>
  <c r="B187" s="1"/>
  <c r="F187" s="1"/>
  <c r="B188" s="1"/>
  <c r="F188" s="1"/>
  <c r="B189" s="1"/>
  <c r="F189" s="1"/>
  <c r="B190" s="1"/>
  <c r="F190" s="1"/>
  <c r="B191" s="1"/>
  <c r="F191" s="1"/>
  <c r="B192" s="1"/>
  <c r="F192" s="1"/>
  <c r="B193" s="1"/>
  <c r="F193" s="1"/>
  <c r="B194" s="1"/>
  <c r="F194" s="1"/>
  <c r="B195" s="1"/>
  <c r="F195" s="1"/>
  <c r="B196" s="1"/>
  <c r="F196" s="1"/>
  <c r="B197" s="1"/>
  <c r="F197" s="1"/>
  <c r="B198" s="1"/>
  <c r="F198" s="1"/>
  <c r="B199" s="1"/>
  <c r="F199" s="1"/>
  <c r="B200" s="1"/>
  <c r="Y37" i="10" l="1"/>
  <c r="X38"/>
  <c r="J103" i="7"/>
  <c r="K103" s="1"/>
  <c r="F200"/>
  <c r="B201" s="1"/>
  <c r="F202" s="1"/>
  <c r="F201"/>
  <c r="Y38" i="10" l="1"/>
  <c r="X39"/>
  <c r="B202" i="7"/>
  <c r="B203" s="1"/>
  <c r="F204" s="1"/>
  <c r="Y39" i="10" l="1"/>
  <c r="X40"/>
  <c r="F203" i="7"/>
  <c r="B204" s="1"/>
  <c r="B205" s="1"/>
  <c r="Y40" i="10" l="1"/>
  <c r="X41"/>
  <c r="F205" i="7"/>
  <c r="B206" s="1"/>
  <c r="F206"/>
  <c r="Y41" i="10" l="1"/>
  <c r="X42"/>
  <c r="Y42" s="1"/>
  <c r="B207" i="7"/>
  <c r="C207" s="1"/>
  <c r="E207" s="1"/>
  <c r="F207"/>
  <c r="E42"/>
  <c r="J59" s="1"/>
  <c r="J60" s="1"/>
  <c r="A51"/>
  <c r="A45"/>
  <c r="J45" s="1"/>
  <c r="C206"/>
  <c r="E206" s="1"/>
  <c r="C205"/>
  <c r="E205" s="1"/>
  <c r="C204"/>
  <c r="E204" s="1"/>
  <c r="C203"/>
  <c r="E203" s="1"/>
  <c r="C202"/>
  <c r="E202" s="1"/>
  <c r="C201"/>
  <c r="E201" s="1"/>
  <c r="C200"/>
  <c r="E200" s="1"/>
  <c r="C199"/>
  <c r="E199" s="1"/>
  <c r="C198"/>
  <c r="E198" s="1"/>
  <c r="C197"/>
  <c r="E197" s="1"/>
  <c r="C196"/>
  <c r="E196" s="1"/>
  <c r="C195"/>
  <c r="E195" s="1"/>
  <c r="C194"/>
  <c r="E194" s="1"/>
  <c r="C193"/>
  <c r="E193" s="1"/>
  <c r="C192"/>
  <c r="E192" s="1"/>
  <c r="C191"/>
  <c r="E191" s="1"/>
  <c r="C190"/>
  <c r="E190" s="1"/>
  <c r="C189"/>
  <c r="E189" s="1"/>
  <c r="C188"/>
  <c r="E188" s="1"/>
  <c r="C187"/>
  <c r="E187" s="1"/>
  <c r="C186"/>
  <c r="E186" s="1"/>
  <c r="C185"/>
  <c r="E185" s="1"/>
  <c r="C184"/>
  <c r="E184" s="1"/>
  <c r="C183"/>
  <c r="E183" s="1"/>
  <c r="C182"/>
  <c r="E182" s="1"/>
  <c r="C181"/>
  <c r="E181" s="1"/>
  <c r="C180"/>
  <c r="E180" s="1"/>
  <c r="C179"/>
  <c r="E179" s="1"/>
  <c r="C178"/>
  <c r="E178" s="1"/>
  <c r="C177"/>
  <c r="E177" s="1"/>
  <c r="C176"/>
  <c r="E176" s="1"/>
  <c r="C175"/>
  <c r="E175" s="1"/>
  <c r="C174"/>
  <c r="E174" s="1"/>
  <c r="C173"/>
  <c r="E173" s="1"/>
  <c r="C172"/>
  <c r="E172" s="1"/>
  <c r="C171"/>
  <c r="E171" s="1"/>
  <c r="C170"/>
  <c r="E170" s="1"/>
  <c r="C169"/>
  <c r="E169" s="1"/>
  <c r="C168"/>
  <c r="E168" s="1"/>
  <c r="C167"/>
  <c r="E167" s="1"/>
  <c r="C166"/>
  <c r="E166" s="1"/>
  <c r="C165"/>
  <c r="E165" s="1"/>
  <c r="C164"/>
  <c r="E164" s="1"/>
  <c r="C163"/>
  <c r="E163" s="1"/>
  <c r="C162"/>
  <c r="E162" s="1"/>
  <c r="C161"/>
  <c r="E161" s="1"/>
  <c r="C160"/>
  <c r="E160" s="1"/>
  <c r="C159"/>
  <c r="E159" s="1"/>
  <c r="C158"/>
  <c r="E158" s="1"/>
  <c r="C157"/>
  <c r="E157" s="1"/>
  <c r="C156"/>
  <c r="E156" s="1"/>
  <c r="C155"/>
  <c r="E155" s="1"/>
  <c r="C154"/>
  <c r="E154" s="1"/>
  <c r="C153"/>
  <c r="E153" s="1"/>
  <c r="C152"/>
  <c r="E152" s="1"/>
  <c r="C151"/>
  <c r="E151" s="1"/>
  <c r="C150"/>
  <c r="E150" s="1"/>
  <c r="C149"/>
  <c r="E149" s="1"/>
  <c r="C148"/>
  <c r="E148" s="1"/>
  <c r="C147"/>
  <c r="E147" s="1"/>
  <c r="C146"/>
  <c r="E146" s="1"/>
  <c r="C145"/>
  <c r="E145" s="1"/>
  <c r="C144"/>
  <c r="E144" s="1"/>
  <c r="C143"/>
  <c r="E143" s="1"/>
  <c r="C142"/>
  <c r="E142" s="1"/>
  <c r="C141"/>
  <c r="E141" s="1"/>
  <c r="C140"/>
  <c r="E140" s="1"/>
  <c r="C139"/>
  <c r="E139" s="1"/>
  <c r="C138"/>
  <c r="E138" s="1"/>
  <c r="C137"/>
  <c r="E137" s="1"/>
  <c r="C136"/>
  <c r="E136" s="1"/>
  <c r="C135"/>
  <c r="E135" s="1"/>
  <c r="C134"/>
  <c r="E134" s="1"/>
  <c r="C133"/>
  <c r="E133" s="1"/>
  <c r="C132"/>
  <c r="E132" s="1"/>
  <c r="C131"/>
  <c r="E131" s="1"/>
  <c r="C130"/>
  <c r="E130" s="1"/>
  <c r="C129"/>
  <c r="E129" s="1"/>
  <c r="C128"/>
  <c r="E128" s="1"/>
  <c r="C127"/>
  <c r="E127" s="1"/>
  <c r="C126"/>
  <c r="E126" s="1"/>
  <c r="C125"/>
  <c r="E125" s="1"/>
  <c r="C124"/>
  <c r="E124" s="1"/>
  <c r="C123"/>
  <c r="E123" s="1"/>
  <c r="C122"/>
  <c r="E122" s="1"/>
  <c r="C121"/>
  <c r="E121" s="1"/>
  <c r="C120"/>
  <c r="E120" s="1"/>
  <c r="C119"/>
  <c r="E119" s="1"/>
  <c r="C118"/>
  <c r="E118" s="1"/>
  <c r="C117"/>
  <c r="E117" s="1"/>
  <c r="C116"/>
  <c r="E116" s="1"/>
  <c r="C115"/>
  <c r="E115" s="1"/>
  <c r="C114"/>
  <c r="E114" s="1"/>
  <c r="C113"/>
  <c r="E113" s="1"/>
  <c r="C112"/>
  <c r="E112" s="1"/>
  <c r="C111"/>
  <c r="E111" s="1"/>
  <c r="C110"/>
  <c r="E110" s="1"/>
  <c r="C109"/>
  <c r="E109" s="1"/>
  <c r="C108"/>
  <c r="E108" s="1"/>
  <c r="C107"/>
  <c r="E107" s="1"/>
  <c r="C106"/>
  <c r="E106" s="1"/>
  <c r="C105"/>
  <c r="E105" s="1"/>
  <c r="C104"/>
  <c r="B208" l="1"/>
  <c r="F208"/>
  <c r="D108"/>
  <c r="G108" s="1"/>
  <c r="H108" s="1"/>
  <c r="J108" s="1"/>
  <c r="K108" s="1"/>
  <c r="D200"/>
  <c r="G200" s="1"/>
  <c r="H200" s="1"/>
  <c r="L200" s="1"/>
  <c r="D168"/>
  <c r="G168" s="1"/>
  <c r="H168" s="1"/>
  <c r="J168" s="1"/>
  <c r="K168" s="1"/>
  <c r="D152"/>
  <c r="G152" s="1"/>
  <c r="H152" s="1"/>
  <c r="L152" s="1"/>
  <c r="D184"/>
  <c r="G184" s="1"/>
  <c r="H184" s="1"/>
  <c r="L184" s="1"/>
  <c r="D104"/>
  <c r="G104" s="1"/>
  <c r="H104" s="1"/>
  <c r="E104"/>
  <c r="D153"/>
  <c r="G153" s="1"/>
  <c r="H153" s="1"/>
  <c r="J153" s="1"/>
  <c r="K153" s="1"/>
  <c r="D155"/>
  <c r="G155" s="1"/>
  <c r="H155" s="1"/>
  <c r="J155" s="1"/>
  <c r="K155" s="1"/>
  <c r="D157"/>
  <c r="G157" s="1"/>
  <c r="H157" s="1"/>
  <c r="J157" s="1"/>
  <c r="K157" s="1"/>
  <c r="D159"/>
  <c r="G159" s="1"/>
  <c r="H159" s="1"/>
  <c r="J159" s="1"/>
  <c r="K159" s="1"/>
  <c r="D169"/>
  <c r="G169" s="1"/>
  <c r="H169" s="1"/>
  <c r="J169" s="1"/>
  <c r="K169" s="1"/>
  <c r="D171"/>
  <c r="G171" s="1"/>
  <c r="H171" s="1"/>
  <c r="J171" s="1"/>
  <c r="K171" s="1"/>
  <c r="D173"/>
  <c r="G173" s="1"/>
  <c r="H173" s="1"/>
  <c r="J173" s="1"/>
  <c r="K173" s="1"/>
  <c r="D175"/>
  <c r="G175" s="1"/>
  <c r="H175" s="1"/>
  <c r="J175" s="1"/>
  <c r="K175" s="1"/>
  <c r="D185"/>
  <c r="G185" s="1"/>
  <c r="H185" s="1"/>
  <c r="J185" s="1"/>
  <c r="K185" s="1"/>
  <c r="D187"/>
  <c r="G187" s="1"/>
  <c r="H187" s="1"/>
  <c r="J187" s="1"/>
  <c r="K187" s="1"/>
  <c r="D189"/>
  <c r="G189" s="1"/>
  <c r="H189" s="1"/>
  <c r="J189" s="1"/>
  <c r="K189" s="1"/>
  <c r="D191"/>
  <c r="G191" s="1"/>
  <c r="H191" s="1"/>
  <c r="J191" s="1"/>
  <c r="K191" s="1"/>
  <c r="D201"/>
  <c r="G201" s="1"/>
  <c r="H201" s="1"/>
  <c r="J201" s="1"/>
  <c r="K201" s="1"/>
  <c r="D203"/>
  <c r="G203" s="1"/>
  <c r="H203" s="1"/>
  <c r="J203" s="1"/>
  <c r="K203" s="1"/>
  <c r="D205"/>
  <c r="G205" s="1"/>
  <c r="H205" s="1"/>
  <c r="J205" s="1"/>
  <c r="K205" s="1"/>
  <c r="D207"/>
  <c r="G207" s="1"/>
  <c r="H207" s="1"/>
  <c r="J207" s="1"/>
  <c r="K207" s="1"/>
  <c r="D160"/>
  <c r="G160" s="1"/>
  <c r="H160" s="1"/>
  <c r="J160" s="1"/>
  <c r="K160" s="1"/>
  <c r="D176"/>
  <c r="G176" s="1"/>
  <c r="H176" s="1"/>
  <c r="J176" s="1"/>
  <c r="K176" s="1"/>
  <c r="D192"/>
  <c r="G192" s="1"/>
  <c r="H192" s="1"/>
  <c r="J192" s="1"/>
  <c r="K192" s="1"/>
  <c r="D105"/>
  <c r="G105" s="1"/>
  <c r="H105" s="1"/>
  <c r="J105" s="1"/>
  <c r="K105" s="1"/>
  <c r="D107"/>
  <c r="G107" s="1"/>
  <c r="H107" s="1"/>
  <c r="J107" s="1"/>
  <c r="K107" s="1"/>
  <c r="D109"/>
  <c r="G109" s="1"/>
  <c r="H109" s="1"/>
  <c r="J109" s="1"/>
  <c r="K109" s="1"/>
  <c r="D111"/>
  <c r="G111" s="1"/>
  <c r="H111" s="1"/>
  <c r="J111" s="1"/>
  <c r="K111" s="1"/>
  <c r="D115"/>
  <c r="G115" s="1"/>
  <c r="H115" s="1"/>
  <c r="J115" s="1"/>
  <c r="K115" s="1"/>
  <c r="D117"/>
  <c r="G117" s="1"/>
  <c r="H117" s="1"/>
  <c r="J117" s="1"/>
  <c r="K117" s="1"/>
  <c r="D119"/>
  <c r="G119" s="1"/>
  <c r="H119" s="1"/>
  <c r="J119" s="1"/>
  <c r="K119" s="1"/>
  <c r="D121"/>
  <c r="G121" s="1"/>
  <c r="H121" s="1"/>
  <c r="J121" s="1"/>
  <c r="K121" s="1"/>
  <c r="D123"/>
  <c r="G123" s="1"/>
  <c r="H123" s="1"/>
  <c r="J123" s="1"/>
  <c r="K123" s="1"/>
  <c r="D125"/>
  <c r="G125" s="1"/>
  <c r="H125" s="1"/>
  <c r="J125" s="1"/>
  <c r="K125" s="1"/>
  <c r="D127"/>
  <c r="G127" s="1"/>
  <c r="H127" s="1"/>
  <c r="J127" s="1"/>
  <c r="K127" s="1"/>
  <c r="D129"/>
  <c r="G129" s="1"/>
  <c r="H129" s="1"/>
  <c r="J129" s="1"/>
  <c r="K129" s="1"/>
  <c r="D131"/>
  <c r="G131" s="1"/>
  <c r="H131" s="1"/>
  <c r="J131" s="1"/>
  <c r="K131" s="1"/>
  <c r="D133"/>
  <c r="G133" s="1"/>
  <c r="H133" s="1"/>
  <c r="J133" s="1"/>
  <c r="K133" s="1"/>
  <c r="D135"/>
  <c r="G135" s="1"/>
  <c r="H135" s="1"/>
  <c r="J135" s="1"/>
  <c r="K135" s="1"/>
  <c r="D137"/>
  <c r="G137" s="1"/>
  <c r="H137" s="1"/>
  <c r="J137" s="1"/>
  <c r="K137" s="1"/>
  <c r="D139"/>
  <c r="G139" s="1"/>
  <c r="H139" s="1"/>
  <c r="J139" s="1"/>
  <c r="K139" s="1"/>
  <c r="D141"/>
  <c r="G141" s="1"/>
  <c r="H141" s="1"/>
  <c r="J141" s="1"/>
  <c r="K141" s="1"/>
  <c r="D143"/>
  <c r="G143" s="1"/>
  <c r="H143" s="1"/>
  <c r="J143" s="1"/>
  <c r="K143" s="1"/>
  <c r="D145"/>
  <c r="G145" s="1"/>
  <c r="H145" s="1"/>
  <c r="J145" s="1"/>
  <c r="K145" s="1"/>
  <c r="D147"/>
  <c r="G147" s="1"/>
  <c r="H147" s="1"/>
  <c r="J147" s="1"/>
  <c r="K147" s="1"/>
  <c r="D149"/>
  <c r="G149" s="1"/>
  <c r="H149" s="1"/>
  <c r="J149" s="1"/>
  <c r="K149" s="1"/>
  <c r="D151"/>
  <c r="G151" s="1"/>
  <c r="H151" s="1"/>
  <c r="J151" s="1"/>
  <c r="K151" s="1"/>
  <c r="D161"/>
  <c r="G161" s="1"/>
  <c r="H161" s="1"/>
  <c r="J161" s="1"/>
  <c r="K161" s="1"/>
  <c r="D163"/>
  <c r="G163" s="1"/>
  <c r="H163" s="1"/>
  <c r="J163" s="1"/>
  <c r="K163" s="1"/>
  <c r="D165"/>
  <c r="G165" s="1"/>
  <c r="H165" s="1"/>
  <c r="J165" s="1"/>
  <c r="K165" s="1"/>
  <c r="D167"/>
  <c r="G167" s="1"/>
  <c r="H167" s="1"/>
  <c r="J167" s="1"/>
  <c r="K167" s="1"/>
  <c r="D177"/>
  <c r="G177" s="1"/>
  <c r="H177" s="1"/>
  <c r="J177" s="1"/>
  <c r="K177" s="1"/>
  <c r="D179"/>
  <c r="G179" s="1"/>
  <c r="H179" s="1"/>
  <c r="J179" s="1"/>
  <c r="K179" s="1"/>
  <c r="D181"/>
  <c r="G181" s="1"/>
  <c r="H181" s="1"/>
  <c r="J181" s="1"/>
  <c r="K181" s="1"/>
  <c r="D183"/>
  <c r="G183" s="1"/>
  <c r="H183" s="1"/>
  <c r="J183" s="1"/>
  <c r="K183" s="1"/>
  <c r="D193"/>
  <c r="G193" s="1"/>
  <c r="H193" s="1"/>
  <c r="J193" s="1"/>
  <c r="K193" s="1"/>
  <c r="D195"/>
  <c r="G195" s="1"/>
  <c r="H195" s="1"/>
  <c r="J195" s="1"/>
  <c r="K195" s="1"/>
  <c r="D197"/>
  <c r="G197" s="1"/>
  <c r="H197" s="1"/>
  <c r="J197" s="1"/>
  <c r="K197" s="1"/>
  <c r="D199"/>
  <c r="G199" s="1"/>
  <c r="H199" s="1"/>
  <c r="J199" s="1"/>
  <c r="K199" s="1"/>
  <c r="D112"/>
  <c r="G112" s="1"/>
  <c r="H112" s="1"/>
  <c r="J112" s="1"/>
  <c r="K112" s="1"/>
  <c r="D156"/>
  <c r="G156" s="1"/>
  <c r="H156" s="1"/>
  <c r="J156" s="1"/>
  <c r="K156" s="1"/>
  <c r="D164"/>
  <c r="G164" s="1"/>
  <c r="H164" s="1"/>
  <c r="J164" s="1"/>
  <c r="K164" s="1"/>
  <c r="D172"/>
  <c r="G172" s="1"/>
  <c r="H172" s="1"/>
  <c r="J172" s="1"/>
  <c r="K172" s="1"/>
  <c r="D180"/>
  <c r="G180" s="1"/>
  <c r="H180" s="1"/>
  <c r="J180" s="1"/>
  <c r="K180" s="1"/>
  <c r="D188"/>
  <c r="G188" s="1"/>
  <c r="H188" s="1"/>
  <c r="J188" s="1"/>
  <c r="K188" s="1"/>
  <c r="D196"/>
  <c r="G196" s="1"/>
  <c r="H196" s="1"/>
  <c r="J196" s="1"/>
  <c r="K196" s="1"/>
  <c r="D204"/>
  <c r="G204" s="1"/>
  <c r="H204" s="1"/>
  <c r="J204" s="1"/>
  <c r="K204" s="1"/>
  <c r="K51"/>
  <c r="J62" s="1"/>
  <c r="J63" s="1"/>
  <c r="J65" s="1"/>
  <c r="D106"/>
  <c r="G106" s="1"/>
  <c r="H106" s="1"/>
  <c r="J106" s="1"/>
  <c r="K106" s="1"/>
  <c r="D110"/>
  <c r="G110" s="1"/>
  <c r="H110" s="1"/>
  <c r="J110" s="1"/>
  <c r="K110" s="1"/>
  <c r="D114"/>
  <c r="G114" s="1"/>
  <c r="H114" s="1"/>
  <c r="J114" s="1"/>
  <c r="K114" s="1"/>
  <c r="D116"/>
  <c r="G116" s="1"/>
  <c r="H116" s="1"/>
  <c r="J116" s="1"/>
  <c r="K116" s="1"/>
  <c r="D118"/>
  <c r="G118" s="1"/>
  <c r="H118" s="1"/>
  <c r="J118" s="1"/>
  <c r="K118" s="1"/>
  <c r="D120"/>
  <c r="G120" s="1"/>
  <c r="H120" s="1"/>
  <c r="J120" s="1"/>
  <c r="K120" s="1"/>
  <c r="D122"/>
  <c r="G122" s="1"/>
  <c r="H122" s="1"/>
  <c r="J122" s="1"/>
  <c r="K122" s="1"/>
  <c r="D124"/>
  <c r="G124" s="1"/>
  <c r="H124" s="1"/>
  <c r="J124" s="1"/>
  <c r="K124" s="1"/>
  <c r="D126"/>
  <c r="G126" s="1"/>
  <c r="H126" s="1"/>
  <c r="J126" s="1"/>
  <c r="K126" s="1"/>
  <c r="D128"/>
  <c r="G128" s="1"/>
  <c r="H128" s="1"/>
  <c r="J128" s="1"/>
  <c r="K128" s="1"/>
  <c r="D130"/>
  <c r="G130" s="1"/>
  <c r="H130" s="1"/>
  <c r="J130" s="1"/>
  <c r="K130" s="1"/>
  <c r="D132"/>
  <c r="G132" s="1"/>
  <c r="H132" s="1"/>
  <c r="J132" s="1"/>
  <c r="K132" s="1"/>
  <c r="D134"/>
  <c r="G134" s="1"/>
  <c r="H134" s="1"/>
  <c r="J134" s="1"/>
  <c r="K134" s="1"/>
  <c r="D136"/>
  <c r="G136" s="1"/>
  <c r="H136" s="1"/>
  <c r="J136" s="1"/>
  <c r="K136" s="1"/>
  <c r="D138"/>
  <c r="G138" s="1"/>
  <c r="H138" s="1"/>
  <c r="J138" s="1"/>
  <c r="K138" s="1"/>
  <c r="D140"/>
  <c r="G140" s="1"/>
  <c r="H140" s="1"/>
  <c r="J140" s="1"/>
  <c r="K140" s="1"/>
  <c r="D142"/>
  <c r="G142" s="1"/>
  <c r="H142" s="1"/>
  <c r="J142" s="1"/>
  <c r="K142" s="1"/>
  <c r="D144"/>
  <c r="G144" s="1"/>
  <c r="H144" s="1"/>
  <c r="J144" s="1"/>
  <c r="K144" s="1"/>
  <c r="D146"/>
  <c r="G146" s="1"/>
  <c r="H146" s="1"/>
  <c r="J146" s="1"/>
  <c r="K146" s="1"/>
  <c r="D148"/>
  <c r="G148" s="1"/>
  <c r="H148" s="1"/>
  <c r="J148" s="1"/>
  <c r="K148" s="1"/>
  <c r="D150"/>
  <c r="G150" s="1"/>
  <c r="H150" s="1"/>
  <c r="J150" s="1"/>
  <c r="K150" s="1"/>
  <c r="D154"/>
  <c r="G154" s="1"/>
  <c r="H154" s="1"/>
  <c r="J154" s="1"/>
  <c r="K154" s="1"/>
  <c r="D158"/>
  <c r="G158" s="1"/>
  <c r="H158" s="1"/>
  <c r="J158" s="1"/>
  <c r="K158" s="1"/>
  <c r="D162"/>
  <c r="G162" s="1"/>
  <c r="H162" s="1"/>
  <c r="J162" s="1"/>
  <c r="K162" s="1"/>
  <c r="D166"/>
  <c r="G166" s="1"/>
  <c r="H166" s="1"/>
  <c r="J166" s="1"/>
  <c r="K166" s="1"/>
  <c r="D170"/>
  <c r="G170" s="1"/>
  <c r="H170" s="1"/>
  <c r="J170" s="1"/>
  <c r="K170" s="1"/>
  <c r="D174"/>
  <c r="G174" s="1"/>
  <c r="H174" s="1"/>
  <c r="J174" s="1"/>
  <c r="K174" s="1"/>
  <c r="D178"/>
  <c r="G178" s="1"/>
  <c r="H178" s="1"/>
  <c r="J178" s="1"/>
  <c r="K178" s="1"/>
  <c r="D182"/>
  <c r="G182" s="1"/>
  <c r="H182" s="1"/>
  <c r="J182" s="1"/>
  <c r="K182" s="1"/>
  <c r="D186"/>
  <c r="G186" s="1"/>
  <c r="H186" s="1"/>
  <c r="J186" s="1"/>
  <c r="K186" s="1"/>
  <c r="D190"/>
  <c r="G190" s="1"/>
  <c r="H190" s="1"/>
  <c r="J190" s="1"/>
  <c r="K190" s="1"/>
  <c r="D194"/>
  <c r="G194" s="1"/>
  <c r="H194" s="1"/>
  <c r="J194" s="1"/>
  <c r="K194" s="1"/>
  <c r="D198"/>
  <c r="G198" s="1"/>
  <c r="H198" s="1"/>
  <c r="J198" s="1"/>
  <c r="K198" s="1"/>
  <c r="D202"/>
  <c r="G202" s="1"/>
  <c r="H202" s="1"/>
  <c r="J202" s="1"/>
  <c r="K202" s="1"/>
  <c r="D206"/>
  <c r="G206" s="1"/>
  <c r="H206" s="1"/>
  <c r="J206" s="1"/>
  <c r="K206" s="1"/>
  <c r="D113"/>
  <c r="G113" s="1"/>
  <c r="H113" s="1"/>
  <c r="J113" s="1"/>
  <c r="K113" s="1"/>
  <c r="J200" l="1"/>
  <c r="K200" s="1"/>
  <c r="J152"/>
  <c r="K152" s="1"/>
  <c r="L104"/>
  <c r="J184"/>
  <c r="K184" s="1"/>
  <c r="L207"/>
  <c r="L203"/>
  <c r="L199"/>
  <c r="L195"/>
  <c r="L191"/>
  <c r="L187"/>
  <c r="L183"/>
  <c r="L179"/>
  <c r="L175"/>
  <c r="L171"/>
  <c r="L167"/>
  <c r="L163"/>
  <c r="L159"/>
  <c r="L155"/>
  <c r="L151"/>
  <c r="L147"/>
  <c r="L143"/>
  <c r="L139"/>
  <c r="L135"/>
  <c r="L131"/>
  <c r="L127"/>
  <c r="L123"/>
  <c r="L119"/>
  <c r="L115"/>
  <c r="L111"/>
  <c r="L107"/>
  <c r="L204"/>
  <c r="L196"/>
  <c r="L192"/>
  <c r="L188"/>
  <c r="L180"/>
  <c r="L176"/>
  <c r="L172"/>
  <c r="L168"/>
  <c r="L164"/>
  <c r="L160"/>
  <c r="L156"/>
  <c r="L148"/>
  <c r="L144"/>
  <c r="L140"/>
  <c r="L136"/>
  <c r="L132"/>
  <c r="L128"/>
  <c r="L124"/>
  <c r="L120"/>
  <c r="L116"/>
  <c r="L112"/>
  <c r="L108"/>
  <c r="L105"/>
  <c r="L205"/>
  <c r="L201"/>
  <c r="L197"/>
  <c r="L193"/>
  <c r="L189"/>
  <c r="L185"/>
  <c r="L181"/>
  <c r="L177"/>
  <c r="L173"/>
  <c r="L169"/>
  <c r="L165"/>
  <c r="L161"/>
  <c r="L157"/>
  <c r="L153"/>
  <c r="L149"/>
  <c r="L145"/>
  <c r="L141"/>
  <c r="L137"/>
  <c r="L133"/>
  <c r="L129"/>
  <c r="L125"/>
  <c r="L121"/>
  <c r="L117"/>
  <c r="L113"/>
  <c r="L109"/>
  <c r="L206"/>
  <c r="L202"/>
  <c r="L198"/>
  <c r="L194"/>
  <c r="L190"/>
  <c r="L186"/>
  <c r="L182"/>
  <c r="L178"/>
  <c r="L174"/>
  <c r="L170"/>
  <c r="L166"/>
  <c r="L162"/>
  <c r="L158"/>
  <c r="L154"/>
  <c r="L150"/>
  <c r="L146"/>
  <c r="L142"/>
  <c r="L138"/>
  <c r="L134"/>
  <c r="L130"/>
  <c r="L126"/>
  <c r="L122"/>
  <c r="L118"/>
  <c r="L114"/>
  <c r="L110"/>
  <c r="L106"/>
  <c r="B209"/>
  <c r="F209"/>
  <c r="C208"/>
  <c r="J104"/>
  <c r="K104" s="1"/>
  <c r="F25"/>
  <c r="A15"/>
  <c r="F19" s="1"/>
  <c r="A28"/>
  <c r="A21"/>
  <c r="F18" s="1"/>
  <c r="E28"/>
  <c r="E208" l="1"/>
  <c r="D208"/>
  <c r="G208" s="1"/>
  <c r="H208" s="1"/>
  <c r="B210"/>
  <c r="F210"/>
  <c r="C209"/>
  <c r="J13"/>
  <c r="J21" s="1"/>
  <c r="F20"/>
  <c r="J208" l="1"/>
  <c r="K208" s="1"/>
  <c r="L208"/>
  <c r="E209"/>
  <c r="D209"/>
  <c r="G209" s="1"/>
  <c r="H209" s="1"/>
  <c r="B211"/>
  <c r="F211"/>
  <c r="C210"/>
  <c r="J26" i="6"/>
  <c r="I26"/>
  <c r="I25"/>
  <c r="I24"/>
  <c r="H26"/>
  <c r="I13"/>
  <c r="B12"/>
  <c r="B11"/>
  <c r="H24" s="1"/>
  <c r="J24" s="1"/>
  <c r="B16"/>
  <c r="B19" s="1"/>
  <c r="I20" s="1"/>
  <c r="B24"/>
  <c r="L209" i="7" l="1"/>
  <c r="J209"/>
  <c r="K209" s="1"/>
  <c r="E210"/>
  <c r="D210"/>
  <c r="G210" s="1"/>
  <c r="H210" s="1"/>
  <c r="B212"/>
  <c r="F212"/>
  <c r="C211"/>
  <c r="H25" i="6"/>
  <c r="J25" s="1"/>
  <c r="B13"/>
  <c r="I15" s="1"/>
  <c r="E13" i="5"/>
  <c r="E14"/>
  <c r="E15"/>
  <c r="E16"/>
  <c r="E17"/>
  <c r="E18"/>
  <c r="E12"/>
  <c r="I37"/>
  <c r="J37" s="1"/>
  <c r="L36" s="1"/>
  <c r="I39"/>
  <c r="J39" s="1"/>
  <c r="L37" s="1"/>
  <c r="I41"/>
  <c r="J41" s="1"/>
  <c r="L38" s="1"/>
  <c r="I43"/>
  <c r="J43" s="1"/>
  <c r="L39" s="1"/>
  <c r="I45"/>
  <c r="J45" s="1"/>
  <c r="L40" s="1"/>
  <c r="I35"/>
  <c r="J35" s="1"/>
  <c r="L35" s="1"/>
  <c r="F37"/>
  <c r="F39"/>
  <c r="F41"/>
  <c r="F43"/>
  <c r="F45"/>
  <c r="F35"/>
  <c r="E36"/>
  <c r="E38"/>
  <c r="E40"/>
  <c r="G41" s="1"/>
  <c r="H41" s="1"/>
  <c r="E42"/>
  <c r="E44"/>
  <c r="G45" s="1"/>
  <c r="H45" s="1"/>
  <c r="E46"/>
  <c r="E34"/>
  <c r="G35" s="1"/>
  <c r="H35" s="1"/>
  <c r="E30"/>
  <c r="E31" s="1"/>
  <c r="L210" i="7" l="1"/>
  <c r="J210"/>
  <c r="K210" s="1"/>
  <c r="E211"/>
  <c r="D211"/>
  <c r="G211" s="1"/>
  <c r="H211" s="1"/>
  <c r="B213"/>
  <c r="F213"/>
  <c r="C212"/>
  <c r="I12" i="6"/>
  <c r="I11"/>
  <c r="G37" i="5"/>
  <c r="H37" s="1"/>
  <c r="K45"/>
  <c r="K41"/>
  <c r="K37"/>
  <c r="K35"/>
  <c r="G43"/>
  <c r="H43" s="1"/>
  <c r="K43" s="1"/>
  <c r="G39"/>
  <c r="H39" s="1"/>
  <c r="K39" s="1"/>
  <c r="L211" i="7" l="1"/>
  <c r="J211"/>
  <c r="K211" s="1"/>
  <c r="E212"/>
  <c r="D212"/>
  <c r="G212" s="1"/>
  <c r="H212" s="1"/>
  <c r="B214"/>
  <c r="F214"/>
  <c r="C213"/>
  <c r="F14" i="5"/>
  <c r="M37"/>
  <c r="F12"/>
  <c r="M35"/>
  <c r="F15"/>
  <c r="M38"/>
  <c r="F16"/>
  <c r="M39"/>
  <c r="F13"/>
  <c r="M36"/>
  <c r="F17"/>
  <c r="M40"/>
  <c r="L212" i="7" l="1"/>
  <c r="J212"/>
  <c r="K212" s="1"/>
  <c r="E213"/>
  <c r="D213"/>
  <c r="G213" s="1"/>
  <c r="H213" s="1"/>
  <c r="B215"/>
  <c r="F215"/>
  <c r="C214"/>
  <c r="D27" i="1"/>
  <c r="D33" s="1"/>
  <c r="E42" s="1"/>
  <c r="L213" i="7" l="1"/>
  <c r="J213"/>
  <c r="K213" s="1"/>
  <c r="E214"/>
  <c r="D214"/>
  <c r="G214" s="1"/>
  <c r="H214" s="1"/>
  <c r="B216"/>
  <c r="F216"/>
  <c r="C215"/>
  <c r="D42" i="1"/>
  <c r="D41"/>
  <c r="E41"/>
  <c r="L214" i="7" l="1"/>
  <c r="J214"/>
  <c r="K214" s="1"/>
  <c r="E215"/>
  <c r="D215"/>
  <c r="G215" s="1"/>
  <c r="H215" s="1"/>
  <c r="B217"/>
  <c r="F217"/>
  <c r="C216"/>
  <c r="F42" i="1"/>
  <c r="F41"/>
  <c r="L215" i="7" l="1"/>
  <c r="J215"/>
  <c r="K215" s="1"/>
  <c r="E216"/>
  <c r="D216"/>
  <c r="G216" s="1"/>
  <c r="H216" s="1"/>
  <c r="B218"/>
  <c r="F218"/>
  <c r="C217"/>
  <c r="L216" l="1"/>
  <c r="E217"/>
  <c r="D217"/>
  <c r="G217" s="1"/>
  <c r="H217" s="1"/>
  <c r="B219"/>
  <c r="F219"/>
  <c r="C218"/>
  <c r="J216"/>
  <c r="K216" s="1"/>
  <c r="J217" l="1"/>
  <c r="K217" s="1"/>
  <c r="L217"/>
  <c r="E218"/>
  <c r="D218"/>
  <c r="G218" s="1"/>
  <c r="H218" s="1"/>
  <c r="B220"/>
  <c r="F220"/>
  <c r="C219"/>
  <c r="L218" l="1"/>
  <c r="J218"/>
  <c r="K218" s="1"/>
  <c r="E219"/>
  <c r="D219"/>
  <c r="G219" s="1"/>
  <c r="H219" s="1"/>
  <c r="B221"/>
  <c r="F221"/>
  <c r="C220"/>
  <c r="L219" l="1"/>
  <c r="J219"/>
  <c r="K219" s="1"/>
  <c r="E220"/>
  <c r="D220"/>
  <c r="G220" s="1"/>
  <c r="H220" s="1"/>
  <c r="B222"/>
  <c r="F222"/>
  <c r="C221"/>
  <c r="L220" l="1"/>
  <c r="J220"/>
  <c r="K220" s="1"/>
  <c r="E221"/>
  <c r="D221"/>
  <c r="G221" s="1"/>
  <c r="H221" s="1"/>
  <c r="B223"/>
  <c r="F223"/>
  <c r="C222"/>
  <c r="L221" l="1"/>
  <c r="J221"/>
  <c r="K221" s="1"/>
  <c r="E222"/>
  <c r="D222"/>
  <c r="G222" s="1"/>
  <c r="H222" s="1"/>
  <c r="B224"/>
  <c r="F224"/>
  <c r="C223"/>
  <c r="L222" l="1"/>
  <c r="J222"/>
  <c r="K222" s="1"/>
  <c r="E223"/>
  <c r="D223"/>
  <c r="G223" s="1"/>
  <c r="H223" s="1"/>
  <c r="B225"/>
  <c r="F225"/>
  <c r="C224"/>
  <c r="L223" l="1"/>
  <c r="J223"/>
  <c r="K223" s="1"/>
  <c r="E224"/>
  <c r="D224"/>
  <c r="G224" s="1"/>
  <c r="H224" s="1"/>
  <c r="B226"/>
  <c r="F226"/>
  <c r="C225"/>
  <c r="L224" l="1"/>
  <c r="J224"/>
  <c r="K224" s="1"/>
  <c r="E225"/>
  <c r="D225"/>
  <c r="G225" s="1"/>
  <c r="H225" s="1"/>
  <c r="B227"/>
  <c r="F227"/>
  <c r="C226"/>
  <c r="L225" l="1"/>
  <c r="J225"/>
  <c r="K225" s="1"/>
  <c r="E226"/>
  <c r="D226"/>
  <c r="G226" s="1"/>
  <c r="H226" s="1"/>
  <c r="B228"/>
  <c r="F228"/>
  <c r="C227"/>
  <c r="L226" l="1"/>
  <c r="J226"/>
  <c r="K226" s="1"/>
  <c r="E227"/>
  <c r="D227"/>
  <c r="G227" s="1"/>
  <c r="H227" s="1"/>
  <c r="B229"/>
  <c r="F229"/>
  <c r="C228"/>
  <c r="L227" l="1"/>
  <c r="J227"/>
  <c r="K227" s="1"/>
  <c r="E228"/>
  <c r="D228"/>
  <c r="G228" s="1"/>
  <c r="H228" s="1"/>
  <c r="B230"/>
  <c r="F230"/>
  <c r="C229"/>
  <c r="L228" l="1"/>
  <c r="J228"/>
  <c r="K228" s="1"/>
  <c r="E229"/>
  <c r="D229"/>
  <c r="G229" s="1"/>
  <c r="H229" s="1"/>
  <c r="B231"/>
  <c r="F231"/>
  <c r="C230"/>
  <c r="J229" l="1"/>
  <c r="K229" s="1"/>
  <c r="L229"/>
  <c r="E230"/>
  <c r="D230"/>
  <c r="G230" s="1"/>
  <c r="H230" s="1"/>
  <c r="B232"/>
  <c r="F232"/>
  <c r="C231"/>
  <c r="L230" l="1"/>
  <c r="J230"/>
  <c r="K230" s="1"/>
  <c r="E231"/>
  <c r="D231"/>
  <c r="G231" s="1"/>
  <c r="H231" s="1"/>
  <c r="B233"/>
  <c r="F233"/>
  <c r="C232"/>
  <c r="L231" l="1"/>
  <c r="J231"/>
  <c r="K231" s="1"/>
  <c r="E232"/>
  <c r="D232"/>
  <c r="G232" s="1"/>
  <c r="H232" s="1"/>
  <c r="B234"/>
  <c r="F234"/>
  <c r="C233"/>
  <c r="L232" l="1"/>
  <c r="E233"/>
  <c r="D233"/>
  <c r="G233" s="1"/>
  <c r="H233" s="1"/>
  <c r="B235"/>
  <c r="F235"/>
  <c r="C234"/>
  <c r="J232"/>
  <c r="K232" s="1"/>
  <c r="J233" l="1"/>
  <c r="K233" s="1"/>
  <c r="L233"/>
  <c r="E234"/>
  <c r="D234"/>
  <c r="G234" s="1"/>
  <c r="H234" s="1"/>
  <c r="B236"/>
  <c r="F236"/>
  <c r="C235"/>
  <c r="L234" l="1"/>
  <c r="J234"/>
  <c r="K234" s="1"/>
  <c r="E235"/>
  <c r="D235"/>
  <c r="G235" s="1"/>
  <c r="H235" s="1"/>
  <c r="B237"/>
  <c r="F237"/>
  <c r="C236"/>
  <c r="L235" l="1"/>
  <c r="J235"/>
  <c r="K235" s="1"/>
  <c r="E236"/>
  <c r="D236"/>
  <c r="G236" s="1"/>
  <c r="H236" s="1"/>
  <c r="B238"/>
  <c r="F238"/>
  <c r="C237"/>
  <c r="L236" l="1"/>
  <c r="J236"/>
  <c r="K236" s="1"/>
  <c r="E237"/>
  <c r="D237"/>
  <c r="G237" s="1"/>
  <c r="H237" s="1"/>
  <c r="B239"/>
  <c r="F239"/>
  <c r="C238"/>
  <c r="L237" l="1"/>
  <c r="J237"/>
  <c r="K237" s="1"/>
  <c r="E238"/>
  <c r="D238"/>
  <c r="G238" s="1"/>
  <c r="H238" s="1"/>
  <c r="B240"/>
  <c r="F240"/>
  <c r="C239"/>
  <c r="L238" l="1"/>
  <c r="J238"/>
  <c r="K238" s="1"/>
  <c r="E239"/>
  <c r="D239"/>
  <c r="G239" s="1"/>
  <c r="H239" s="1"/>
  <c r="B241"/>
  <c r="F241"/>
  <c r="C240"/>
  <c r="L239" l="1"/>
  <c r="J239"/>
  <c r="K239" s="1"/>
  <c r="E240"/>
  <c r="D240"/>
  <c r="G240" s="1"/>
  <c r="H240" s="1"/>
  <c r="B242"/>
  <c r="F242"/>
  <c r="C241"/>
  <c r="L240" l="1"/>
  <c r="J240"/>
  <c r="K240" s="1"/>
  <c r="E241"/>
  <c r="D241"/>
  <c r="G241" s="1"/>
  <c r="H241" s="1"/>
  <c r="B243"/>
  <c r="F243"/>
  <c r="C242"/>
  <c r="L241" l="1"/>
  <c r="J241"/>
  <c r="K241" s="1"/>
  <c r="E242"/>
  <c r="D242"/>
  <c r="G242" s="1"/>
  <c r="H242" s="1"/>
  <c r="B244"/>
  <c r="F244"/>
  <c r="C243"/>
  <c r="L242" l="1"/>
  <c r="J242"/>
  <c r="K242" s="1"/>
  <c r="E243"/>
  <c r="D243"/>
  <c r="G243" s="1"/>
  <c r="H243" s="1"/>
  <c r="B245"/>
  <c r="F245"/>
  <c r="C244"/>
  <c r="L243" l="1"/>
  <c r="J243"/>
  <c r="K243" s="1"/>
  <c r="E244"/>
  <c r="D244"/>
  <c r="G244" s="1"/>
  <c r="H244" s="1"/>
  <c r="B246"/>
  <c r="F246"/>
  <c r="C245"/>
  <c r="L244" l="1"/>
  <c r="J244"/>
  <c r="K244" s="1"/>
  <c r="E245"/>
  <c r="D245"/>
  <c r="G245" s="1"/>
  <c r="H245" s="1"/>
  <c r="B247"/>
  <c r="F247"/>
  <c r="C246"/>
  <c r="L245" l="1"/>
  <c r="J245"/>
  <c r="K245" s="1"/>
  <c r="E246"/>
  <c r="D246"/>
  <c r="G246" s="1"/>
  <c r="H246" s="1"/>
  <c r="B248"/>
  <c r="F248"/>
  <c r="C247"/>
  <c r="L246" l="1"/>
  <c r="J246"/>
  <c r="K246" s="1"/>
  <c r="E247"/>
  <c r="D247"/>
  <c r="G247" s="1"/>
  <c r="H247" s="1"/>
  <c r="B249"/>
  <c r="F249"/>
  <c r="C248"/>
  <c r="L247" l="1"/>
  <c r="J247"/>
  <c r="K247" s="1"/>
  <c r="E248"/>
  <c r="D248"/>
  <c r="G248" s="1"/>
  <c r="H248" s="1"/>
  <c r="B250"/>
  <c r="F250"/>
  <c r="C249"/>
  <c r="L248" l="1"/>
  <c r="J248"/>
  <c r="K248" s="1"/>
  <c r="E249"/>
  <c r="D249"/>
  <c r="G249" s="1"/>
  <c r="H249" s="1"/>
  <c r="B251"/>
  <c r="F251"/>
  <c r="C250"/>
  <c r="L249" l="1"/>
  <c r="J249"/>
  <c r="K249" s="1"/>
  <c r="E250"/>
  <c r="D250"/>
  <c r="G250" s="1"/>
  <c r="H250" s="1"/>
  <c r="B252"/>
  <c r="F252"/>
  <c r="C251"/>
  <c r="L250" l="1"/>
  <c r="J250"/>
  <c r="K250" s="1"/>
  <c r="E251"/>
  <c r="D251"/>
  <c r="G251" s="1"/>
  <c r="H251" s="1"/>
  <c r="B253"/>
  <c r="F253"/>
  <c r="C252"/>
  <c r="L251" l="1"/>
  <c r="E252"/>
  <c r="D252"/>
  <c r="G252" s="1"/>
  <c r="H252" s="1"/>
  <c r="B254"/>
  <c r="F254"/>
  <c r="C253"/>
  <c r="J251"/>
  <c r="K251" s="1"/>
  <c r="J252" l="1"/>
  <c r="K252" s="1"/>
  <c r="L252"/>
  <c r="E253"/>
  <c r="D253"/>
  <c r="G253" s="1"/>
  <c r="H253" s="1"/>
  <c r="B255"/>
  <c r="F255"/>
  <c r="C254"/>
  <c r="L253" l="1"/>
  <c r="J253"/>
  <c r="K253" s="1"/>
  <c r="E254"/>
  <c r="D254"/>
  <c r="G254" s="1"/>
  <c r="H254" s="1"/>
  <c r="B256"/>
  <c r="F256"/>
  <c r="C255"/>
  <c r="L254" l="1"/>
  <c r="J254"/>
  <c r="K254" s="1"/>
  <c r="E255"/>
  <c r="D255"/>
  <c r="G255" s="1"/>
  <c r="H255" s="1"/>
  <c r="B257"/>
  <c r="F257"/>
  <c r="C256"/>
  <c r="L255" l="1"/>
  <c r="J255"/>
  <c r="K255" s="1"/>
  <c r="E256"/>
  <c r="D256"/>
  <c r="G256" s="1"/>
  <c r="H256" s="1"/>
  <c r="B258"/>
  <c r="F258"/>
  <c r="C257"/>
  <c r="L256" l="1"/>
  <c r="J256"/>
  <c r="K256" s="1"/>
  <c r="E257"/>
  <c r="D257"/>
  <c r="G257" s="1"/>
  <c r="H257" s="1"/>
  <c r="B259"/>
  <c r="F259"/>
  <c r="C258"/>
  <c r="L257" l="1"/>
  <c r="J257"/>
  <c r="K257" s="1"/>
  <c r="E258"/>
  <c r="D258"/>
  <c r="G258" s="1"/>
  <c r="H258" s="1"/>
  <c r="B260"/>
  <c r="F260"/>
  <c r="C259"/>
  <c r="L258" l="1"/>
  <c r="J258"/>
  <c r="K258" s="1"/>
  <c r="E259"/>
  <c r="D259"/>
  <c r="G259" s="1"/>
  <c r="H259" s="1"/>
  <c r="B261"/>
  <c r="F261"/>
  <c r="C260"/>
  <c r="L259" l="1"/>
  <c r="E260"/>
  <c r="D260"/>
  <c r="G260" s="1"/>
  <c r="H260" s="1"/>
  <c r="B262"/>
  <c r="F262"/>
  <c r="C261"/>
  <c r="J259"/>
  <c r="K259" s="1"/>
  <c r="J260" l="1"/>
  <c r="K260" s="1"/>
  <c r="L260"/>
  <c r="E261"/>
  <c r="D261"/>
  <c r="G261" s="1"/>
  <c r="H261" s="1"/>
  <c r="B263"/>
  <c r="F263"/>
  <c r="C262"/>
  <c r="L261" l="1"/>
  <c r="J261"/>
  <c r="K261" s="1"/>
  <c r="E262"/>
  <c r="D262"/>
  <c r="G262" s="1"/>
  <c r="H262" s="1"/>
  <c r="B264"/>
  <c r="F264"/>
  <c r="C263"/>
  <c r="L262" l="1"/>
  <c r="J262"/>
  <c r="K262" s="1"/>
  <c r="E263"/>
  <c r="D263"/>
  <c r="G263" s="1"/>
  <c r="H263" s="1"/>
  <c r="B265"/>
  <c r="F265"/>
  <c r="C264"/>
  <c r="L263" l="1"/>
  <c r="J263"/>
  <c r="K263" s="1"/>
  <c r="E264"/>
  <c r="D264"/>
  <c r="G264" s="1"/>
  <c r="H264" s="1"/>
  <c r="B266"/>
  <c r="F266"/>
  <c r="C265"/>
  <c r="L264" l="1"/>
  <c r="J264"/>
  <c r="K264" s="1"/>
  <c r="E265"/>
  <c r="D265"/>
  <c r="G265" s="1"/>
  <c r="H265" s="1"/>
  <c r="B267"/>
  <c r="F267"/>
  <c r="C266"/>
  <c r="L265" l="1"/>
  <c r="J265"/>
  <c r="K265" s="1"/>
  <c r="E266"/>
  <c r="D266"/>
  <c r="G266" s="1"/>
  <c r="H266" s="1"/>
  <c r="B268"/>
  <c r="F268"/>
  <c r="C267"/>
  <c r="L266" l="1"/>
  <c r="J266"/>
  <c r="K266" s="1"/>
  <c r="E267"/>
  <c r="D267"/>
  <c r="G267" s="1"/>
  <c r="H267" s="1"/>
  <c r="B269"/>
  <c r="F269"/>
  <c r="C268"/>
  <c r="L267" l="1"/>
  <c r="E268"/>
  <c r="D268"/>
  <c r="G268" s="1"/>
  <c r="H268" s="1"/>
  <c r="B270"/>
  <c r="F270"/>
  <c r="C269"/>
  <c r="J267"/>
  <c r="K267" s="1"/>
  <c r="J268" l="1"/>
  <c r="K268" s="1"/>
  <c r="L268"/>
  <c r="E269"/>
  <c r="D269"/>
  <c r="G269" s="1"/>
  <c r="H269" s="1"/>
  <c r="B271"/>
  <c r="F271"/>
  <c r="C270"/>
  <c r="L269" l="1"/>
  <c r="J269"/>
  <c r="K269" s="1"/>
  <c r="E270"/>
  <c r="D270"/>
  <c r="G270" s="1"/>
  <c r="H270" s="1"/>
  <c r="B272"/>
  <c r="F272"/>
  <c r="C271"/>
  <c r="L270" l="1"/>
  <c r="J270"/>
  <c r="K270" s="1"/>
  <c r="E271"/>
  <c r="D271"/>
  <c r="G271" s="1"/>
  <c r="H271" s="1"/>
  <c r="B273"/>
  <c r="F273"/>
  <c r="C272"/>
  <c r="L271" l="1"/>
  <c r="J271"/>
  <c r="K271" s="1"/>
  <c r="E272"/>
  <c r="D272"/>
  <c r="G272" s="1"/>
  <c r="H272" s="1"/>
  <c r="B274"/>
  <c r="F274"/>
  <c r="C273"/>
  <c r="L272" l="1"/>
  <c r="J272"/>
  <c r="K272" s="1"/>
  <c r="E273"/>
  <c r="D273"/>
  <c r="G273" s="1"/>
  <c r="H273" s="1"/>
  <c r="B275"/>
  <c r="F275"/>
  <c r="C274"/>
  <c r="L273" l="1"/>
  <c r="J273"/>
  <c r="K273" s="1"/>
  <c r="E274"/>
  <c r="D274"/>
  <c r="G274" s="1"/>
  <c r="H274" s="1"/>
  <c r="B276"/>
  <c r="F276"/>
  <c r="C275"/>
  <c r="L274" l="1"/>
  <c r="J274"/>
  <c r="K274" s="1"/>
  <c r="E275"/>
  <c r="D275"/>
  <c r="G275" s="1"/>
  <c r="H275" s="1"/>
  <c r="B277"/>
  <c r="F277"/>
  <c r="C276"/>
  <c r="L275" l="1"/>
  <c r="E276"/>
  <c r="D276"/>
  <c r="G276" s="1"/>
  <c r="H276" s="1"/>
  <c r="B278"/>
  <c r="F278"/>
  <c r="C277"/>
  <c r="J275"/>
  <c r="K275" s="1"/>
  <c r="J276" l="1"/>
  <c r="K276" s="1"/>
  <c r="L276"/>
  <c r="E277"/>
  <c r="D277"/>
  <c r="G277" s="1"/>
  <c r="H277" s="1"/>
  <c r="B279"/>
  <c r="F279"/>
  <c r="C278"/>
  <c r="L277" l="1"/>
  <c r="J277"/>
  <c r="K277" s="1"/>
  <c r="E278"/>
  <c r="D278"/>
  <c r="G278" s="1"/>
  <c r="H278" s="1"/>
  <c r="B280"/>
  <c r="F280"/>
  <c r="C279"/>
  <c r="L278" l="1"/>
  <c r="J278"/>
  <c r="K278" s="1"/>
  <c r="E279"/>
  <c r="D279"/>
  <c r="G279" s="1"/>
  <c r="H279" s="1"/>
  <c r="B281"/>
  <c r="F281"/>
  <c r="C280"/>
  <c r="L279" l="1"/>
  <c r="J279"/>
  <c r="K279" s="1"/>
  <c r="E280"/>
  <c r="D280"/>
  <c r="G280" s="1"/>
  <c r="H280" s="1"/>
  <c r="B282"/>
  <c r="F282"/>
  <c r="C281"/>
  <c r="L280" l="1"/>
  <c r="J280"/>
  <c r="K280" s="1"/>
  <c r="E281"/>
  <c r="D281"/>
  <c r="G281" s="1"/>
  <c r="H281" s="1"/>
  <c r="B283"/>
  <c r="F283"/>
  <c r="C282"/>
  <c r="L281" l="1"/>
  <c r="J281"/>
  <c r="K281" s="1"/>
  <c r="E282"/>
  <c r="D282"/>
  <c r="G282" s="1"/>
  <c r="H282" s="1"/>
  <c r="B284"/>
  <c r="F284"/>
  <c r="C283"/>
  <c r="L282" l="1"/>
  <c r="J282"/>
  <c r="K282" s="1"/>
  <c r="E283"/>
  <c r="D283"/>
  <c r="G283" s="1"/>
  <c r="H283" s="1"/>
  <c r="B285"/>
  <c r="F285"/>
  <c r="C284"/>
  <c r="L283" l="1"/>
  <c r="J283"/>
  <c r="K283" s="1"/>
  <c r="E284"/>
  <c r="D284"/>
  <c r="G284" s="1"/>
  <c r="H284" s="1"/>
  <c r="B286"/>
  <c r="F286"/>
  <c r="C285"/>
  <c r="J284" l="1"/>
  <c r="K284" s="1"/>
  <c r="L284"/>
  <c r="E285"/>
  <c r="D285"/>
  <c r="G285" s="1"/>
  <c r="H285" s="1"/>
  <c r="B287"/>
  <c r="F287"/>
  <c r="C286"/>
  <c r="L285" l="1"/>
  <c r="E286"/>
  <c r="D286"/>
  <c r="G286" s="1"/>
  <c r="H286" s="1"/>
  <c r="B288"/>
  <c r="F288"/>
  <c r="C287"/>
  <c r="J285"/>
  <c r="K285" s="1"/>
  <c r="J286" l="1"/>
  <c r="K286" s="1"/>
  <c r="L286"/>
  <c r="E287"/>
  <c r="D287"/>
  <c r="G287" s="1"/>
  <c r="H287" s="1"/>
  <c r="B289"/>
  <c r="F289"/>
  <c r="C288"/>
  <c r="L287" l="1"/>
  <c r="J287"/>
  <c r="K287" s="1"/>
  <c r="E288"/>
  <c r="D288"/>
  <c r="G288" s="1"/>
  <c r="H288" s="1"/>
  <c r="B290"/>
  <c r="F290"/>
  <c r="C289"/>
  <c r="L288" l="1"/>
  <c r="J288"/>
  <c r="K288" s="1"/>
  <c r="E289"/>
  <c r="D289"/>
  <c r="G289" s="1"/>
  <c r="H289" s="1"/>
  <c r="B291"/>
  <c r="F291"/>
  <c r="C290"/>
  <c r="L289" l="1"/>
  <c r="J289"/>
  <c r="K289" s="1"/>
  <c r="E290"/>
  <c r="D290"/>
  <c r="G290" s="1"/>
  <c r="H290" s="1"/>
  <c r="B292"/>
  <c r="F292"/>
  <c r="C291"/>
  <c r="L290" l="1"/>
  <c r="J290"/>
  <c r="K290" s="1"/>
  <c r="E291"/>
  <c r="D291"/>
  <c r="G291" s="1"/>
  <c r="H291" s="1"/>
  <c r="B293"/>
  <c r="F293"/>
  <c r="C292"/>
  <c r="L291" l="1"/>
  <c r="J291"/>
  <c r="K291" s="1"/>
  <c r="E292"/>
  <c r="D292"/>
  <c r="G292" s="1"/>
  <c r="H292" s="1"/>
  <c r="B294"/>
  <c r="F294"/>
  <c r="C293"/>
  <c r="L292" l="1"/>
  <c r="J292"/>
  <c r="K292" s="1"/>
  <c r="E293"/>
  <c r="D293"/>
  <c r="G293" s="1"/>
  <c r="H293" s="1"/>
  <c r="B295"/>
  <c r="F295"/>
  <c r="C294"/>
  <c r="L293" l="1"/>
  <c r="J293"/>
  <c r="K293" s="1"/>
  <c r="E294"/>
  <c r="D294"/>
  <c r="G294" s="1"/>
  <c r="H294" s="1"/>
  <c r="B296"/>
  <c r="F296"/>
  <c r="C295"/>
  <c r="L294" l="1"/>
  <c r="J294"/>
  <c r="K294" s="1"/>
  <c r="E295"/>
  <c r="D295"/>
  <c r="G295" s="1"/>
  <c r="H295" s="1"/>
  <c r="B297"/>
  <c r="F297"/>
  <c r="C296"/>
  <c r="L295" l="1"/>
  <c r="J295"/>
  <c r="K295" s="1"/>
  <c r="E296"/>
  <c r="D296"/>
  <c r="G296" s="1"/>
  <c r="H296" s="1"/>
  <c r="B298"/>
  <c r="F298"/>
  <c r="C297"/>
  <c r="L296" l="1"/>
  <c r="J296"/>
  <c r="K296" s="1"/>
  <c r="E297"/>
  <c r="D297"/>
  <c r="G297" s="1"/>
  <c r="H297" s="1"/>
  <c r="B299"/>
  <c r="F299"/>
  <c r="C298"/>
  <c r="L297" l="1"/>
  <c r="J297"/>
  <c r="K297" s="1"/>
  <c r="E298"/>
  <c r="D298"/>
  <c r="G298" s="1"/>
  <c r="H298" s="1"/>
  <c r="B300"/>
  <c r="F300"/>
  <c r="C299"/>
  <c r="L298" l="1"/>
  <c r="J298"/>
  <c r="K298" s="1"/>
  <c r="E299"/>
  <c r="D299"/>
  <c r="G299" s="1"/>
  <c r="H299" s="1"/>
  <c r="B301"/>
  <c r="F301"/>
  <c r="C300"/>
  <c r="L299" l="1"/>
  <c r="J299"/>
  <c r="K299" s="1"/>
  <c r="E300"/>
  <c r="D300"/>
  <c r="G300" s="1"/>
  <c r="H300" s="1"/>
  <c r="B302"/>
  <c r="F302"/>
  <c r="C301"/>
  <c r="L300" l="1"/>
  <c r="J300"/>
  <c r="K300" s="1"/>
  <c r="E301"/>
  <c r="D301"/>
  <c r="G301" s="1"/>
  <c r="H301" s="1"/>
  <c r="B303"/>
  <c r="F303"/>
  <c r="C302"/>
  <c r="L301" l="1"/>
  <c r="E302"/>
  <c r="D302"/>
  <c r="G302" s="1"/>
  <c r="H302" s="1"/>
  <c r="B304"/>
  <c r="F304"/>
  <c r="C303"/>
  <c r="J301"/>
  <c r="K301" s="1"/>
  <c r="L302" l="1"/>
  <c r="J302"/>
  <c r="K302" s="1"/>
  <c r="E303"/>
  <c r="D303"/>
  <c r="G303" s="1"/>
  <c r="H303" s="1"/>
  <c r="B305"/>
  <c r="F305"/>
  <c r="C304"/>
  <c r="L303" l="1"/>
  <c r="J303"/>
  <c r="K303" s="1"/>
  <c r="E304"/>
  <c r="D304"/>
  <c r="G304" s="1"/>
  <c r="H304" s="1"/>
  <c r="B306"/>
  <c r="F306"/>
  <c r="C305"/>
  <c r="L304" l="1"/>
  <c r="J304"/>
  <c r="K304" s="1"/>
  <c r="E305"/>
  <c r="D305"/>
  <c r="G305" s="1"/>
  <c r="H305" s="1"/>
  <c r="B307"/>
  <c r="F307"/>
  <c r="C306"/>
  <c r="L305" l="1"/>
  <c r="J305"/>
  <c r="K305" s="1"/>
  <c r="E306"/>
  <c r="D306"/>
  <c r="G306" s="1"/>
  <c r="H306" s="1"/>
  <c r="B308"/>
  <c r="F308"/>
  <c r="C307"/>
  <c r="L306" l="1"/>
  <c r="J306"/>
  <c r="K306" s="1"/>
  <c r="E307"/>
  <c r="D307"/>
  <c r="G307" s="1"/>
  <c r="H307" s="1"/>
  <c r="B309"/>
  <c r="F309"/>
  <c r="C308"/>
  <c r="L307" l="1"/>
  <c r="J307"/>
  <c r="K307" s="1"/>
  <c r="E308"/>
  <c r="D308"/>
  <c r="G308" s="1"/>
  <c r="H308" s="1"/>
  <c r="B310"/>
  <c r="F310"/>
  <c r="C309"/>
  <c r="L308" l="1"/>
  <c r="J308"/>
  <c r="K308" s="1"/>
  <c r="E309"/>
  <c r="D309"/>
  <c r="G309" s="1"/>
  <c r="H309" s="1"/>
  <c r="B311"/>
  <c r="F311"/>
  <c r="C310"/>
  <c r="L309" l="1"/>
  <c r="J309"/>
  <c r="K309" s="1"/>
  <c r="E310"/>
  <c r="D310"/>
  <c r="G310" s="1"/>
  <c r="H310" s="1"/>
  <c r="B312"/>
  <c r="F312"/>
  <c r="C311"/>
  <c r="L310" l="1"/>
  <c r="J310"/>
  <c r="K310" s="1"/>
  <c r="E311"/>
  <c r="D311"/>
  <c r="G311" s="1"/>
  <c r="H311" s="1"/>
  <c r="B313"/>
  <c r="F313"/>
  <c r="C312"/>
  <c r="L311" l="1"/>
  <c r="J311"/>
  <c r="K311" s="1"/>
  <c r="E312"/>
  <c r="D312"/>
  <c r="G312" s="1"/>
  <c r="H312" s="1"/>
  <c r="B314"/>
  <c r="F314"/>
  <c r="C313"/>
  <c r="L312" l="1"/>
  <c r="J312"/>
  <c r="K312" s="1"/>
  <c r="E313"/>
  <c r="D313"/>
  <c r="G313" s="1"/>
  <c r="H313" s="1"/>
  <c r="B315"/>
  <c r="F315"/>
  <c r="C314"/>
  <c r="L313" l="1"/>
  <c r="J313"/>
  <c r="K313" s="1"/>
  <c r="E314"/>
  <c r="D314"/>
  <c r="G314" s="1"/>
  <c r="H314" s="1"/>
  <c r="B316"/>
  <c r="F316"/>
  <c r="C315"/>
  <c r="L314" l="1"/>
  <c r="J314"/>
  <c r="K314" s="1"/>
  <c r="E315"/>
  <c r="D315"/>
  <c r="G315" s="1"/>
  <c r="H315" s="1"/>
  <c r="B317"/>
  <c r="F317"/>
  <c r="C316"/>
  <c r="L315" l="1"/>
  <c r="J315"/>
  <c r="K315" s="1"/>
  <c r="E316"/>
  <c r="D316"/>
  <c r="G316" s="1"/>
  <c r="H316" s="1"/>
  <c r="B318"/>
  <c r="F318"/>
  <c r="C317"/>
  <c r="L316" l="1"/>
  <c r="J316"/>
  <c r="K316" s="1"/>
  <c r="E317"/>
  <c r="D317"/>
  <c r="G317" s="1"/>
  <c r="H317" s="1"/>
  <c r="B319"/>
  <c r="F319"/>
  <c r="C318"/>
  <c r="L317" l="1"/>
  <c r="E318"/>
  <c r="D318"/>
  <c r="G318" s="1"/>
  <c r="H318" s="1"/>
  <c r="B320"/>
  <c r="F320"/>
  <c r="C319"/>
  <c r="J317"/>
  <c r="K317" s="1"/>
  <c r="J318" l="1"/>
  <c r="K318" s="1"/>
  <c r="L318"/>
  <c r="E319"/>
  <c r="D319"/>
  <c r="G319" s="1"/>
  <c r="H319" s="1"/>
  <c r="B321"/>
  <c r="F321"/>
  <c r="C320"/>
  <c r="L319" l="1"/>
  <c r="J319"/>
  <c r="K319" s="1"/>
  <c r="E320"/>
  <c r="D320"/>
  <c r="G320" s="1"/>
  <c r="H320" s="1"/>
  <c r="B322"/>
  <c r="F322"/>
  <c r="C321"/>
  <c r="J320" l="1"/>
  <c r="K320" s="1"/>
  <c r="L320"/>
  <c r="E321"/>
  <c r="D321"/>
  <c r="G321" s="1"/>
  <c r="H321" s="1"/>
  <c r="B323"/>
  <c r="F323"/>
  <c r="C322"/>
  <c r="L321" l="1"/>
  <c r="J321"/>
  <c r="K321" s="1"/>
  <c r="E322"/>
  <c r="D322"/>
  <c r="G322" s="1"/>
  <c r="H322" s="1"/>
  <c r="B324"/>
  <c r="F324"/>
  <c r="C323"/>
  <c r="L322" l="1"/>
  <c r="J322"/>
  <c r="K322" s="1"/>
  <c r="E323"/>
  <c r="D323"/>
  <c r="G323" s="1"/>
  <c r="H323" s="1"/>
  <c r="B325"/>
  <c r="F325"/>
  <c r="C324"/>
  <c r="L323" l="1"/>
  <c r="J323"/>
  <c r="K323" s="1"/>
  <c r="E324"/>
  <c r="D324"/>
  <c r="G324" s="1"/>
  <c r="H324" s="1"/>
  <c r="B326"/>
  <c r="F326"/>
  <c r="C325"/>
  <c r="L324" l="1"/>
  <c r="J324"/>
  <c r="K324" s="1"/>
  <c r="E325"/>
  <c r="D325"/>
  <c r="G325" s="1"/>
  <c r="H325" s="1"/>
  <c r="B327"/>
  <c r="F327"/>
  <c r="C326"/>
  <c r="L325" l="1"/>
  <c r="J325"/>
  <c r="K325" s="1"/>
  <c r="E326"/>
  <c r="D326"/>
  <c r="G326" s="1"/>
  <c r="H326" s="1"/>
  <c r="B328"/>
  <c r="C328" s="1"/>
  <c r="F328"/>
  <c r="C327"/>
  <c r="L326" l="1"/>
  <c r="J326"/>
  <c r="K326" s="1"/>
  <c r="E327"/>
  <c r="D327"/>
  <c r="G327" s="1"/>
  <c r="H327" s="1"/>
  <c r="E328"/>
  <c r="D328"/>
  <c r="G328" s="1"/>
  <c r="H328" s="1"/>
  <c r="L328" l="1"/>
  <c r="L327"/>
  <c r="J328"/>
  <c r="K328" s="1"/>
  <c r="J327"/>
  <c r="K327" s="1"/>
</calcChain>
</file>

<file path=xl/sharedStrings.xml><?xml version="1.0" encoding="utf-8"?>
<sst xmlns="http://schemas.openxmlformats.org/spreadsheetml/2006/main" count="586" uniqueCount="362">
  <si>
    <t>砂</t>
    <rPh sb="0" eb="1">
      <t>スナ</t>
    </rPh>
    <phoneticPr fontId="1"/>
  </si>
  <si>
    <t>ローム</t>
    <phoneticPr fontId="1"/>
  </si>
  <si>
    <t>水</t>
    <rPh sb="0" eb="1">
      <t>ミズ</t>
    </rPh>
    <phoneticPr fontId="1"/>
  </si>
  <si>
    <t>cm</t>
    <phoneticPr fontId="1"/>
  </si>
  <si>
    <t>表　高さ、圧力水頭、全水頭</t>
    <rPh sb="0" eb="1">
      <t>ヒョウ</t>
    </rPh>
    <rPh sb="2" eb="3">
      <t>タカ</t>
    </rPh>
    <rPh sb="5" eb="7">
      <t>アツリョク</t>
    </rPh>
    <rPh sb="7" eb="8">
      <t>スイ</t>
    </rPh>
    <rPh sb="8" eb="9">
      <t>トウ</t>
    </rPh>
    <rPh sb="10" eb="11">
      <t>ゼン</t>
    </rPh>
    <rPh sb="11" eb="13">
      <t>スイトウ</t>
    </rPh>
    <phoneticPr fontId="1"/>
  </si>
  <si>
    <t>問題3.2</t>
    <rPh sb="0" eb="2">
      <t>モンダイ</t>
    </rPh>
    <phoneticPr fontId="1"/>
  </si>
  <si>
    <r>
      <t>cm h</t>
    </r>
    <r>
      <rPr>
        <vertAlign val="superscript"/>
        <sz val="11"/>
        <color theme="1"/>
        <rFont val="ＭＳ Ｐゴシック"/>
        <family val="3"/>
        <charset val="128"/>
        <scheme val="minor"/>
      </rPr>
      <t>-1</t>
    </r>
    <phoneticPr fontId="1"/>
  </si>
  <si>
    <r>
      <t>　　ローム層の厚さ</t>
    </r>
    <r>
      <rPr>
        <i/>
        <sz val="11"/>
        <color theme="1"/>
        <rFont val="ＭＳ Ｐゴシック"/>
        <family val="3"/>
        <charset val="128"/>
        <scheme val="minor"/>
      </rPr>
      <t>L</t>
    </r>
    <r>
      <rPr>
        <vertAlign val="subscript"/>
        <sz val="11"/>
        <color theme="1"/>
        <rFont val="ＭＳ Ｐゴシック"/>
        <family val="3"/>
        <charset val="128"/>
        <scheme val="minor"/>
      </rPr>
      <t>1</t>
    </r>
    <rPh sb="5" eb="6">
      <t>ソウ</t>
    </rPh>
    <rPh sb="7" eb="8">
      <t>アツ</t>
    </rPh>
    <phoneticPr fontId="1"/>
  </si>
  <si>
    <r>
      <t>　　ローム層の</t>
    </r>
    <r>
      <rPr>
        <i/>
        <sz val="11"/>
        <color theme="1"/>
        <rFont val="ＭＳ Ｐゴシック"/>
        <family val="3"/>
        <charset val="128"/>
        <scheme val="minor"/>
      </rPr>
      <t>K</t>
    </r>
    <r>
      <rPr>
        <vertAlign val="subscript"/>
        <sz val="11"/>
        <color theme="1"/>
        <rFont val="ＭＳ Ｐゴシック"/>
        <family val="3"/>
        <charset val="128"/>
        <scheme val="minor"/>
      </rPr>
      <t>s</t>
    </r>
    <rPh sb="5" eb="6">
      <t>ソウ</t>
    </rPh>
    <phoneticPr fontId="1"/>
  </si>
  <si>
    <r>
      <t>　　砂層の厚さ</t>
    </r>
    <r>
      <rPr>
        <i/>
        <sz val="11"/>
        <color theme="1"/>
        <rFont val="ＭＳ Ｐゴシック"/>
        <family val="3"/>
        <charset val="128"/>
        <scheme val="minor"/>
      </rPr>
      <t>L</t>
    </r>
    <r>
      <rPr>
        <vertAlign val="subscript"/>
        <sz val="11"/>
        <color theme="1"/>
        <rFont val="ＭＳ Ｐゴシック"/>
        <family val="3"/>
        <charset val="128"/>
        <scheme val="minor"/>
      </rPr>
      <t>2</t>
    </r>
    <rPh sb="2" eb="3">
      <t>スナ</t>
    </rPh>
    <rPh sb="3" eb="4">
      <t>ソウ</t>
    </rPh>
    <rPh sb="5" eb="6">
      <t>アツ</t>
    </rPh>
    <phoneticPr fontId="1"/>
  </si>
  <si>
    <r>
      <t>　　砂層の</t>
    </r>
    <r>
      <rPr>
        <i/>
        <sz val="11"/>
        <color theme="1"/>
        <rFont val="ＭＳ Ｐゴシック"/>
        <family val="3"/>
        <charset val="128"/>
        <scheme val="minor"/>
      </rPr>
      <t>K</t>
    </r>
    <r>
      <rPr>
        <vertAlign val="subscript"/>
        <sz val="11"/>
        <color theme="1"/>
        <rFont val="ＭＳ Ｐゴシック"/>
        <family val="3"/>
        <charset val="128"/>
        <scheme val="minor"/>
      </rPr>
      <t>s</t>
    </r>
    <rPh sb="2" eb="3">
      <t>スナ</t>
    </rPh>
    <rPh sb="3" eb="4">
      <t>ソウ</t>
    </rPh>
    <phoneticPr fontId="1"/>
  </si>
  <si>
    <t>　　湛水深</t>
    <rPh sb="2" eb="4">
      <t>タンスイ</t>
    </rPh>
    <rPh sb="4" eb="5">
      <t>フカ</t>
    </rPh>
    <phoneticPr fontId="1"/>
  </si>
  <si>
    <r>
      <rPr>
        <i/>
        <sz val="11"/>
        <color theme="1"/>
        <rFont val="ＭＳ Ｐゴシック"/>
        <family val="3"/>
        <charset val="128"/>
        <scheme val="minor"/>
      </rPr>
      <t xml:space="preserve">z </t>
    </r>
    <r>
      <rPr>
        <sz val="11"/>
        <color theme="1"/>
        <rFont val="ＭＳ Ｐゴシック"/>
        <family val="2"/>
        <charset val="128"/>
        <scheme val="minor"/>
      </rPr>
      <t>(cm)</t>
    </r>
    <phoneticPr fontId="1"/>
  </si>
  <si>
    <r>
      <rPr>
        <i/>
        <sz val="11"/>
        <color theme="1"/>
        <rFont val="ＭＳ Ｐゴシック"/>
        <family val="3"/>
        <charset val="128"/>
        <scheme val="minor"/>
      </rPr>
      <t xml:space="preserve">p </t>
    </r>
    <r>
      <rPr>
        <sz val="11"/>
        <color theme="1"/>
        <rFont val="ＭＳ Ｐゴシック"/>
        <family val="2"/>
        <charset val="128"/>
        <scheme val="minor"/>
      </rPr>
      <t>(cm)</t>
    </r>
    <phoneticPr fontId="1"/>
  </si>
  <si>
    <r>
      <rPr>
        <i/>
        <sz val="11"/>
        <color theme="1"/>
        <rFont val="ＭＳ Ｐゴシック"/>
        <family val="3"/>
        <charset val="128"/>
        <scheme val="minor"/>
      </rPr>
      <t xml:space="preserve">H </t>
    </r>
    <r>
      <rPr>
        <sz val="11"/>
        <color theme="1"/>
        <rFont val="ＭＳ Ｐゴシック"/>
        <family val="2"/>
        <charset val="128"/>
        <scheme val="minor"/>
      </rPr>
      <t>(cm)</t>
    </r>
    <phoneticPr fontId="1"/>
  </si>
  <si>
    <t>透水係数が変わらなければ、砂層の静水圧は0で一定。</t>
    <rPh sb="0" eb="2">
      <t>トウスイ</t>
    </rPh>
    <rPh sb="2" eb="4">
      <t>ケイスウ</t>
    </rPh>
    <rPh sb="5" eb="6">
      <t>カ</t>
    </rPh>
    <rPh sb="13" eb="14">
      <t>スナ</t>
    </rPh>
    <rPh sb="14" eb="15">
      <t>ソウ</t>
    </rPh>
    <rPh sb="16" eb="19">
      <t>セイスイアツ</t>
    </rPh>
    <rPh sb="22" eb="24">
      <t>イッテイ</t>
    </rPh>
    <phoneticPr fontId="1"/>
  </si>
  <si>
    <t>下層のKsが上層より低ければ、境界に水が溜まり、境界の静水圧が高くなる。</t>
    <rPh sb="0" eb="2">
      <t>カソウ</t>
    </rPh>
    <rPh sb="6" eb="8">
      <t>ジョウソウ</t>
    </rPh>
    <rPh sb="10" eb="11">
      <t>ヒク</t>
    </rPh>
    <rPh sb="15" eb="17">
      <t>キョウカイ</t>
    </rPh>
    <rPh sb="18" eb="19">
      <t>ミズ</t>
    </rPh>
    <rPh sb="20" eb="21">
      <t>タ</t>
    </rPh>
    <rPh sb="24" eb="26">
      <t>キョウカイ</t>
    </rPh>
    <rPh sb="27" eb="30">
      <t>セイスイアツ</t>
    </rPh>
    <rPh sb="31" eb="32">
      <t>タカ</t>
    </rPh>
    <phoneticPr fontId="1"/>
  </si>
  <si>
    <t>下層のKsが上層より高 ければ、下層が水を引き込み、境界の静水圧が低くなる。</t>
    <rPh sb="0" eb="2">
      <t>カソウ</t>
    </rPh>
    <rPh sb="6" eb="8">
      <t>ジョウソウ</t>
    </rPh>
    <rPh sb="10" eb="11">
      <t>タカ</t>
    </rPh>
    <rPh sb="16" eb="18">
      <t>カソウ</t>
    </rPh>
    <rPh sb="19" eb="20">
      <t>ミズ</t>
    </rPh>
    <rPh sb="21" eb="22">
      <t>ヒ</t>
    </rPh>
    <rPh sb="23" eb="24">
      <t>コ</t>
    </rPh>
    <rPh sb="26" eb="28">
      <t>キョウカイ</t>
    </rPh>
    <rPh sb="29" eb="32">
      <t>セイスイアツ</t>
    </rPh>
    <rPh sb="33" eb="34">
      <t>ヒク</t>
    </rPh>
    <phoneticPr fontId="1"/>
  </si>
  <si>
    <t>境界の静水圧はローム層が厚くなると負圧に、短くなると正圧になる。</t>
    <rPh sb="0" eb="2">
      <t>キョウカイ</t>
    </rPh>
    <rPh sb="3" eb="6">
      <t>セイスイアツ</t>
    </rPh>
    <rPh sb="10" eb="11">
      <t>ソウ</t>
    </rPh>
    <rPh sb="12" eb="13">
      <t>アツ</t>
    </rPh>
    <rPh sb="17" eb="18">
      <t>フ</t>
    </rPh>
    <rPh sb="18" eb="19">
      <t>アツ</t>
    </rPh>
    <rPh sb="21" eb="22">
      <t>ミジカ</t>
    </rPh>
    <rPh sb="26" eb="28">
      <t>セイアツ</t>
    </rPh>
    <phoneticPr fontId="1"/>
  </si>
  <si>
    <t>境界(A点) --------&gt;</t>
    <rPh sb="0" eb="2">
      <t>キョウカイ</t>
    </rPh>
    <rPh sb="4" eb="5">
      <t>テン</t>
    </rPh>
    <phoneticPr fontId="1"/>
  </si>
  <si>
    <t>湛水深が増加すれば、静水圧分布が増加し、境界の静水圧も増加する。</t>
    <rPh sb="0" eb="2">
      <t>タンスイ</t>
    </rPh>
    <rPh sb="2" eb="3">
      <t>フカ</t>
    </rPh>
    <rPh sb="4" eb="6">
      <t>ゾウカ</t>
    </rPh>
    <rPh sb="10" eb="13">
      <t>セイスイアツ</t>
    </rPh>
    <rPh sb="13" eb="15">
      <t>ブンプ</t>
    </rPh>
    <rPh sb="16" eb="18">
      <t>ゾウカ</t>
    </rPh>
    <rPh sb="20" eb="22">
      <t>キョウカイ</t>
    </rPh>
    <rPh sb="23" eb="26">
      <t>セイスイアツ</t>
    </rPh>
    <rPh sb="27" eb="29">
      <t>ゾウカ</t>
    </rPh>
    <phoneticPr fontId="1"/>
  </si>
  <si>
    <t>逆に、湛水深が減少すれば、境界の静水圧は負圧となる。</t>
    <rPh sb="0" eb="1">
      <t>ギャク</t>
    </rPh>
    <rPh sb="3" eb="4">
      <t>ジン</t>
    </rPh>
    <rPh sb="4" eb="6">
      <t>スイシン</t>
    </rPh>
    <rPh sb="7" eb="9">
      <t>ゲンショウ</t>
    </rPh>
    <rPh sb="13" eb="15">
      <t>キョウカイ</t>
    </rPh>
    <rPh sb="16" eb="17">
      <t>セイ</t>
    </rPh>
    <rPh sb="17" eb="19">
      <t>スイアツ</t>
    </rPh>
    <rPh sb="20" eb="21">
      <t>フ</t>
    </rPh>
    <rPh sb="21" eb="22">
      <t>アツ</t>
    </rPh>
    <phoneticPr fontId="1"/>
  </si>
  <si>
    <t>また、上下層を逆転すれば、上下層の静水圧分布も逆転し、</t>
    <rPh sb="3" eb="5">
      <t>ジョウゲ</t>
    </rPh>
    <rPh sb="5" eb="6">
      <t>ソウ</t>
    </rPh>
    <rPh sb="7" eb="9">
      <t>ギャクテン</t>
    </rPh>
    <rPh sb="13" eb="16">
      <t>ジョウゲソウ</t>
    </rPh>
    <rPh sb="17" eb="20">
      <t>セイスイアツ</t>
    </rPh>
    <rPh sb="20" eb="22">
      <t>ブンプ</t>
    </rPh>
    <rPh sb="23" eb="25">
      <t>ギャクテン</t>
    </rPh>
    <phoneticPr fontId="1"/>
  </si>
  <si>
    <t>上層（砂層）はその長さに関わらず静水圧一定（p = 10 cm)となる。</t>
    <rPh sb="3" eb="4">
      <t>スナ</t>
    </rPh>
    <rPh sb="4" eb="5">
      <t>ソウ</t>
    </rPh>
    <rPh sb="9" eb="10">
      <t>ナガ</t>
    </rPh>
    <rPh sb="12" eb="13">
      <t>カカ</t>
    </rPh>
    <phoneticPr fontId="1"/>
  </si>
  <si>
    <t>表.定常状態におけるテンシオメータの読み</t>
    <rPh sb="0" eb="1">
      <t>ヒョウ</t>
    </rPh>
    <rPh sb="2" eb="4">
      <t>テイジョウ</t>
    </rPh>
    <rPh sb="4" eb="6">
      <t>ジョウタイ</t>
    </rPh>
    <rPh sb="18" eb="19">
      <t>ヨ</t>
    </rPh>
    <phoneticPr fontId="1"/>
  </si>
  <si>
    <t>以下のような系を考えます</t>
    <rPh sb="0" eb="2">
      <t>イカ</t>
    </rPh>
    <rPh sb="6" eb="7">
      <t>ケイ</t>
    </rPh>
    <rPh sb="8" eb="9">
      <t>カンガ</t>
    </rPh>
    <phoneticPr fontId="1"/>
  </si>
  <si>
    <t>（↓自由に変えてみてください）</t>
    <rPh sb="2" eb="4">
      <t>ジユウ</t>
    </rPh>
    <rPh sb="5" eb="6">
      <t>カ</t>
    </rPh>
    <phoneticPr fontId="1"/>
  </si>
  <si>
    <t>(b)</t>
    <phoneticPr fontId="1"/>
  </si>
  <si>
    <t>(c)　</t>
    <phoneticPr fontId="1"/>
  </si>
  <si>
    <r>
      <t>まず、カラム全体の有効透水係数</t>
    </r>
    <r>
      <rPr>
        <i/>
        <sz val="11"/>
        <color theme="1"/>
        <rFont val="ＭＳ Ｐゴシック"/>
        <family val="3"/>
        <charset val="128"/>
        <scheme val="minor"/>
      </rPr>
      <t>K</t>
    </r>
    <r>
      <rPr>
        <vertAlign val="subscript"/>
        <sz val="11"/>
        <color theme="1"/>
        <rFont val="ＭＳ Ｐゴシック"/>
        <family val="3"/>
        <charset val="128"/>
        <scheme val="minor"/>
      </rPr>
      <t>eff</t>
    </r>
    <r>
      <rPr>
        <sz val="11"/>
        <color theme="1"/>
        <rFont val="ＭＳ Ｐゴシック"/>
        <family val="2"/>
        <charset val="128"/>
        <scheme val="minor"/>
      </rPr>
      <t>を求めます。</t>
    </r>
    <rPh sb="6" eb="8">
      <t>ゼンタイ</t>
    </rPh>
    <rPh sb="9" eb="11">
      <t>ユウコウ</t>
    </rPh>
    <rPh sb="11" eb="13">
      <t>トウスイ</t>
    </rPh>
    <rPh sb="13" eb="15">
      <t>ケイスウ</t>
    </rPh>
    <rPh sb="20" eb="21">
      <t>モト</t>
    </rPh>
    <phoneticPr fontId="1"/>
  </si>
  <si>
    <r>
      <t>有効透水係数から、カラム全体のフラックス</t>
    </r>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を求めます。</t>
    </r>
    <rPh sb="0" eb="2">
      <t>ユウコウ</t>
    </rPh>
    <rPh sb="2" eb="4">
      <t>トウスイ</t>
    </rPh>
    <rPh sb="4" eb="6">
      <t>ケイスウ</t>
    </rPh>
    <rPh sb="12" eb="14">
      <t>ゼンタイ</t>
    </rPh>
    <rPh sb="23" eb="24">
      <t>モト</t>
    </rPh>
    <phoneticPr fontId="1"/>
  </si>
  <si>
    <r>
      <t>この</t>
    </r>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を用い、各層についてダルシー則を適用すると下表と右図ができます。</t>
    </r>
    <rPh sb="5" eb="6">
      <t>モチ</t>
    </rPh>
    <rPh sb="8" eb="10">
      <t>カクソウ</t>
    </rPh>
    <rPh sb="18" eb="19">
      <t>ソク</t>
    </rPh>
    <rPh sb="20" eb="22">
      <t>テキヨウ</t>
    </rPh>
    <rPh sb="25" eb="26">
      <t>シタ</t>
    </rPh>
    <rPh sb="26" eb="27">
      <t>ヒョウ</t>
    </rPh>
    <rPh sb="28" eb="29">
      <t>ミギ</t>
    </rPh>
    <rPh sb="29" eb="30">
      <t>ズ</t>
    </rPh>
    <phoneticPr fontId="1"/>
  </si>
  <si>
    <t>但し、z：重力水頭、p：静水圧水頭、H：全水頭</t>
    <rPh sb="0" eb="1">
      <t>タダ</t>
    </rPh>
    <rPh sb="5" eb="7">
      <t>ジュウリョク</t>
    </rPh>
    <rPh sb="7" eb="9">
      <t>スイトウ</t>
    </rPh>
    <rPh sb="12" eb="15">
      <t>セイスイアツ</t>
    </rPh>
    <rPh sb="15" eb="17">
      <t>スイトウ</t>
    </rPh>
    <rPh sb="20" eb="21">
      <t>ゼン</t>
    </rPh>
    <rPh sb="21" eb="23">
      <t>スイトウ</t>
    </rPh>
    <phoneticPr fontId="1"/>
  </si>
  <si>
    <t>問題3.1</t>
    <rPh sb="0" eb="2">
      <t>モンダイ</t>
    </rPh>
    <phoneticPr fontId="1"/>
  </si>
  <si>
    <t>(a)</t>
    <phoneticPr fontId="1"/>
  </si>
  <si>
    <r>
      <rPr>
        <i/>
        <sz val="11"/>
        <color theme="1"/>
        <rFont val="ＭＳ Ｐゴシック"/>
        <family val="3"/>
        <charset val="128"/>
        <scheme val="minor"/>
      </rPr>
      <t>z</t>
    </r>
    <r>
      <rPr>
        <sz val="11"/>
        <color theme="1"/>
        <rFont val="ＭＳ Ｐゴシック"/>
        <family val="2"/>
        <charset val="128"/>
        <scheme val="minor"/>
      </rPr>
      <t xml:space="preserve"> (cm)</t>
    </r>
    <phoneticPr fontId="1"/>
  </si>
  <si>
    <r>
      <rPr>
        <i/>
        <sz val="11"/>
        <color theme="1"/>
        <rFont val="ＭＳ Ｐゴシック"/>
        <family val="3"/>
        <charset val="128"/>
        <scheme val="minor"/>
      </rPr>
      <t>h</t>
    </r>
    <r>
      <rPr>
        <sz val="11"/>
        <color theme="1"/>
        <rFont val="ＭＳ Ｐゴシック"/>
        <family val="2"/>
        <charset val="128"/>
        <scheme val="minor"/>
      </rPr>
      <t xml:space="preserve"> (cm)</t>
    </r>
    <phoneticPr fontId="1"/>
  </si>
  <si>
    <t>上記の表から全水頭ポテンシャルを求め、深さと全水頭の差分を用いて式3.28を近似的に解きます（下表）</t>
    <rPh sb="0" eb="2">
      <t>ジョウキ</t>
    </rPh>
    <rPh sb="3" eb="4">
      <t>ヒョウ</t>
    </rPh>
    <rPh sb="6" eb="7">
      <t>ゼン</t>
    </rPh>
    <rPh sb="7" eb="9">
      <t>スイトウ</t>
    </rPh>
    <rPh sb="16" eb="17">
      <t>モト</t>
    </rPh>
    <rPh sb="19" eb="20">
      <t>フカ</t>
    </rPh>
    <rPh sb="22" eb="23">
      <t>ゼン</t>
    </rPh>
    <rPh sb="23" eb="25">
      <t>スイトウ</t>
    </rPh>
    <rPh sb="26" eb="28">
      <t>サブン</t>
    </rPh>
    <rPh sb="29" eb="30">
      <t>モチ</t>
    </rPh>
    <rPh sb="32" eb="33">
      <t>シキ</t>
    </rPh>
    <rPh sb="38" eb="40">
      <t>キンジ</t>
    </rPh>
    <rPh sb="40" eb="41">
      <t>テキ</t>
    </rPh>
    <rPh sb="42" eb="43">
      <t>ト</t>
    </rPh>
    <rPh sb="47" eb="48">
      <t>シタ</t>
    </rPh>
    <rPh sb="48" eb="49">
      <t>ヒョウ</t>
    </rPh>
    <phoneticPr fontId="1"/>
  </si>
  <si>
    <t>下端からの吸水量</t>
    <rPh sb="0" eb="2">
      <t>カタン</t>
    </rPh>
    <rPh sb="5" eb="8">
      <t>キュウスイリョウ</t>
    </rPh>
    <phoneticPr fontId="1"/>
  </si>
  <si>
    <t>cm/d</t>
    <phoneticPr fontId="1"/>
  </si>
  <si>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 xml:space="preserve"> =</t>
    </r>
    <phoneticPr fontId="1"/>
  </si>
  <si>
    <r>
      <t>cm</t>
    </r>
    <r>
      <rPr>
        <vertAlign val="superscript"/>
        <sz val="11"/>
        <color theme="1"/>
        <rFont val="ＭＳ Ｐゴシック"/>
        <family val="3"/>
        <charset val="128"/>
        <scheme val="minor"/>
      </rPr>
      <t>3</t>
    </r>
    <phoneticPr fontId="1"/>
  </si>
  <si>
    <r>
      <rPr>
        <i/>
        <sz val="11"/>
        <color theme="1"/>
        <rFont val="ＭＳ Ｐゴシック"/>
        <family val="3"/>
        <charset val="128"/>
        <scheme val="minor"/>
      </rPr>
      <t>z</t>
    </r>
    <r>
      <rPr>
        <sz val="11"/>
        <color theme="1"/>
        <rFont val="ＭＳ Ｐゴシック"/>
        <family val="2"/>
        <charset val="128"/>
        <scheme val="minor"/>
      </rPr>
      <t xml:space="preserve"> (cm)</t>
    </r>
    <phoneticPr fontId="1"/>
  </si>
  <si>
    <r>
      <rPr>
        <i/>
        <sz val="11"/>
        <color theme="1"/>
        <rFont val="ＭＳ Ｐゴシック"/>
        <family val="3"/>
        <charset val="128"/>
        <scheme val="minor"/>
      </rPr>
      <t>H</t>
    </r>
    <r>
      <rPr>
        <sz val="11"/>
        <color theme="1"/>
        <rFont val="ＭＳ Ｐゴシック"/>
        <family val="2"/>
        <charset val="128"/>
        <scheme val="minor"/>
      </rPr>
      <t xml:space="preserve"> (cm)</t>
    </r>
    <phoneticPr fontId="1"/>
  </si>
  <si>
    <r>
      <rPr>
        <sz val="11"/>
        <color theme="1"/>
        <rFont val="Symbol"/>
        <family val="1"/>
        <charset val="2"/>
      </rPr>
      <t>D</t>
    </r>
    <r>
      <rPr>
        <i/>
        <sz val="11"/>
        <color theme="1"/>
        <rFont val="ＭＳ Ｐゴシック"/>
        <family val="3"/>
        <charset val="128"/>
        <scheme val="minor"/>
      </rPr>
      <t>z</t>
    </r>
    <phoneticPr fontId="1"/>
  </si>
  <si>
    <r>
      <rPr>
        <sz val="11"/>
        <color theme="1"/>
        <rFont val="Symbol"/>
        <family val="1"/>
        <charset val="2"/>
      </rPr>
      <t>D</t>
    </r>
    <r>
      <rPr>
        <i/>
        <sz val="11"/>
        <color theme="1"/>
        <rFont val="ＭＳ Ｐゴシック"/>
        <family val="3"/>
        <charset val="128"/>
        <scheme val="minor"/>
      </rPr>
      <t>H</t>
    </r>
    <phoneticPr fontId="1"/>
  </si>
  <si>
    <r>
      <rPr>
        <sz val="11"/>
        <color theme="1"/>
        <rFont val="Symbol"/>
        <family val="1"/>
        <charset val="2"/>
      </rPr>
      <t>D</t>
    </r>
    <r>
      <rPr>
        <i/>
        <sz val="11"/>
        <color theme="1"/>
        <rFont val="ＭＳ Ｐゴシック"/>
        <family val="3"/>
        <charset val="128"/>
        <scheme val="minor"/>
      </rPr>
      <t>H</t>
    </r>
    <r>
      <rPr>
        <sz val="11"/>
        <color theme="1"/>
        <rFont val="ＭＳ Ｐゴシック"/>
        <family val="2"/>
        <charset val="128"/>
        <scheme val="minor"/>
      </rPr>
      <t>/</t>
    </r>
    <r>
      <rPr>
        <sz val="11"/>
        <color theme="1"/>
        <rFont val="Symbol"/>
        <family val="1"/>
        <charset val="2"/>
      </rPr>
      <t>D</t>
    </r>
    <r>
      <rPr>
        <i/>
        <sz val="11"/>
        <color theme="1"/>
        <rFont val="ＭＳ Ｐゴシック"/>
        <family val="3"/>
        <charset val="128"/>
        <scheme val="minor"/>
      </rPr>
      <t>z</t>
    </r>
    <phoneticPr fontId="1"/>
  </si>
  <si>
    <t>↓元の表</t>
    <rPh sb="1" eb="2">
      <t>モト</t>
    </rPh>
    <rPh sb="3" eb="4">
      <t>ヒョウ</t>
    </rPh>
    <phoneticPr fontId="1"/>
  </si>
  <si>
    <r>
      <t>（カラム内の水分フラックス</t>
    </r>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は一定で蒸発速度</t>
    </r>
    <r>
      <rPr>
        <i/>
        <sz val="11"/>
        <color theme="1"/>
        <rFont val="ＭＳ Ｐゴシック"/>
        <family val="3"/>
        <charset val="128"/>
        <scheme val="minor"/>
      </rPr>
      <t>E</t>
    </r>
    <r>
      <rPr>
        <sz val="11"/>
        <color theme="1"/>
        <rFont val="ＭＳ Ｐゴシック"/>
        <family val="2"/>
        <charset val="128"/>
        <scheme val="minor"/>
      </rPr>
      <t>と等しい）</t>
    </r>
    <rPh sb="4" eb="5">
      <t>ナイ</t>
    </rPh>
    <rPh sb="6" eb="8">
      <t>スイブン</t>
    </rPh>
    <rPh sb="16" eb="18">
      <t>イッテイ</t>
    </rPh>
    <rPh sb="19" eb="21">
      <t>ジョウハツ</t>
    </rPh>
    <rPh sb="21" eb="23">
      <t>ソクド</t>
    </rPh>
    <rPh sb="25" eb="26">
      <t>ヒト</t>
    </rPh>
    <phoneticPr fontId="1"/>
  </si>
  <si>
    <t>ポテンシャル分布が不変で、水分流れが定常（フラック分布一定）であれば、透水係数は単純に吸水（蒸発）速度に比例します。</t>
    <rPh sb="6" eb="8">
      <t>ブンプ</t>
    </rPh>
    <rPh sb="9" eb="11">
      <t>フヘン</t>
    </rPh>
    <rPh sb="13" eb="15">
      <t>スイブン</t>
    </rPh>
    <rPh sb="15" eb="16">
      <t>ナガ</t>
    </rPh>
    <rPh sb="18" eb="20">
      <t>テイジョウ</t>
    </rPh>
    <rPh sb="25" eb="27">
      <t>ブンプ</t>
    </rPh>
    <rPh sb="27" eb="29">
      <t>イッテイ</t>
    </rPh>
    <rPh sb="35" eb="37">
      <t>トウスイ</t>
    </rPh>
    <rPh sb="37" eb="39">
      <t>ケイスウ</t>
    </rPh>
    <rPh sb="40" eb="42">
      <t>タンジュン</t>
    </rPh>
    <rPh sb="52" eb="54">
      <t>ヒレイ</t>
    </rPh>
    <phoneticPr fontId="1"/>
  </si>
  <si>
    <t>（三輪）</t>
    <rPh sb="1" eb="3">
      <t>ミワ</t>
    </rPh>
    <phoneticPr fontId="1"/>
  </si>
  <si>
    <t>（近藤）</t>
    <rPh sb="1" eb="3">
      <t>コンドウ</t>
    </rPh>
    <phoneticPr fontId="1"/>
  </si>
  <si>
    <t>問題3.3</t>
    <rPh sb="0" eb="2">
      <t>モンダイ</t>
    </rPh>
    <phoneticPr fontId="1"/>
  </si>
  <si>
    <t>（山越）</t>
    <rPh sb="1" eb="3">
      <t>ヤマコシ</t>
    </rPh>
    <phoneticPr fontId="1"/>
  </si>
  <si>
    <t>b</t>
    <phoneticPr fontId="1"/>
  </si>
  <si>
    <t>堪水</t>
    <rPh sb="0" eb="1">
      <t>タン</t>
    </rPh>
    <rPh sb="1" eb="2">
      <t>スイ</t>
    </rPh>
    <phoneticPr fontId="1"/>
  </si>
  <si>
    <t>cm/h</t>
    <phoneticPr fontId="1"/>
  </si>
  <si>
    <t>粘土</t>
    <rPh sb="0" eb="2">
      <t>ネンド</t>
    </rPh>
    <phoneticPr fontId="1"/>
  </si>
  <si>
    <t>静水圧ポテンシャル＋重力ポテンシャル＝全水頭ポテンシャル（全水頭H）</t>
    <rPh sb="0" eb="1">
      <t>セイ</t>
    </rPh>
    <rPh sb="1" eb="3">
      <t>スイアツ</t>
    </rPh>
    <rPh sb="10" eb="12">
      <t>ジュウリョク</t>
    </rPh>
    <rPh sb="19" eb="20">
      <t>ゼン</t>
    </rPh>
    <rPh sb="20" eb="22">
      <t>スイトウ</t>
    </rPh>
    <rPh sb="29" eb="30">
      <t>ゼン</t>
    </rPh>
    <rPh sb="30" eb="32">
      <t>スイトウ</t>
    </rPh>
    <phoneticPr fontId="1"/>
  </si>
  <si>
    <t>以下の図のように、ポテンシャル水頭と記号を整理します。</t>
    <rPh sb="0" eb="2">
      <t>イカ</t>
    </rPh>
    <rPh sb="3" eb="4">
      <t>ズ</t>
    </rPh>
    <rPh sb="15" eb="17">
      <t>スイトウ</t>
    </rPh>
    <rPh sb="18" eb="20">
      <t>キゴウ</t>
    </rPh>
    <rPh sb="21" eb="23">
      <t>セイリ</t>
    </rPh>
    <phoneticPr fontId="1"/>
  </si>
  <si>
    <r>
      <rPr>
        <i/>
        <sz val="11"/>
        <color theme="1"/>
        <rFont val="ＭＳ Ｐゴシック"/>
        <family val="3"/>
        <charset val="128"/>
        <scheme val="minor"/>
      </rPr>
      <t>L</t>
    </r>
    <r>
      <rPr>
        <vertAlign val="subscript"/>
        <sz val="11"/>
        <color theme="1"/>
        <rFont val="ＭＳ Ｐゴシック"/>
        <family val="3"/>
        <charset val="128"/>
        <scheme val="minor"/>
      </rPr>
      <t>2</t>
    </r>
    <phoneticPr fontId="1"/>
  </si>
  <si>
    <r>
      <rPr>
        <i/>
        <sz val="11"/>
        <color theme="1"/>
        <rFont val="ＭＳ Ｐゴシック"/>
        <family val="3"/>
        <charset val="128"/>
        <scheme val="minor"/>
      </rPr>
      <t>L</t>
    </r>
    <r>
      <rPr>
        <vertAlign val="subscript"/>
        <sz val="11"/>
        <color theme="1"/>
        <rFont val="ＭＳ Ｐゴシック"/>
        <family val="3"/>
        <charset val="128"/>
        <scheme val="minor"/>
      </rPr>
      <t>1</t>
    </r>
    <phoneticPr fontId="1"/>
  </si>
  <si>
    <t>(cm)</t>
    <phoneticPr fontId="1"/>
  </si>
  <si>
    <r>
      <rPr>
        <i/>
        <sz val="11"/>
        <rFont val="ＭＳ Ｐゴシック"/>
        <family val="3"/>
        <charset val="128"/>
        <scheme val="minor"/>
      </rPr>
      <t>J</t>
    </r>
    <r>
      <rPr>
        <vertAlign val="subscript"/>
        <sz val="11"/>
        <rFont val="ＭＳ Ｐゴシック"/>
        <family val="3"/>
        <charset val="128"/>
        <scheme val="minor"/>
      </rPr>
      <t>w</t>
    </r>
    <r>
      <rPr>
        <sz val="11"/>
        <rFont val="ＭＳ Ｐゴシック"/>
        <family val="3"/>
        <charset val="128"/>
        <scheme val="minor"/>
      </rPr>
      <t xml:space="preserve"> </t>
    </r>
    <phoneticPr fontId="1"/>
  </si>
  <si>
    <r>
      <t>全体　</t>
    </r>
    <r>
      <rPr>
        <i/>
        <sz val="11"/>
        <color theme="1"/>
        <rFont val="ＭＳ Ｐゴシック"/>
        <family val="3"/>
        <charset val="128"/>
        <scheme val="minor"/>
      </rPr>
      <t>K</t>
    </r>
    <r>
      <rPr>
        <vertAlign val="subscript"/>
        <sz val="11"/>
        <color theme="1"/>
        <rFont val="ＭＳ Ｐゴシック"/>
        <family val="3"/>
        <charset val="128"/>
        <scheme val="minor"/>
      </rPr>
      <t>eff</t>
    </r>
    <rPh sb="0" eb="2">
      <t>ゼンタイ</t>
    </rPh>
    <phoneticPr fontId="1"/>
  </si>
  <si>
    <r>
      <t>砂層　</t>
    </r>
    <r>
      <rPr>
        <i/>
        <sz val="11"/>
        <color theme="1"/>
        <rFont val="ＭＳ Ｐゴシック"/>
        <family val="3"/>
        <charset val="128"/>
        <scheme val="minor"/>
      </rPr>
      <t>K</t>
    </r>
    <r>
      <rPr>
        <vertAlign val="subscript"/>
        <sz val="11"/>
        <color theme="1"/>
        <rFont val="ＭＳ Ｐゴシック"/>
        <family val="3"/>
        <charset val="128"/>
        <scheme val="minor"/>
      </rPr>
      <t>s2</t>
    </r>
    <rPh sb="0" eb="1">
      <t>スナ</t>
    </rPh>
    <rPh sb="1" eb="2">
      <t>ソウ</t>
    </rPh>
    <phoneticPr fontId="1"/>
  </si>
  <si>
    <r>
      <t>粘土層</t>
    </r>
    <r>
      <rPr>
        <i/>
        <sz val="11"/>
        <color theme="1"/>
        <rFont val="ＭＳ Ｐゴシック"/>
        <family val="3"/>
        <charset val="128"/>
        <scheme val="minor"/>
      </rPr>
      <t>K</t>
    </r>
    <r>
      <rPr>
        <vertAlign val="subscript"/>
        <sz val="11"/>
        <color theme="1"/>
        <rFont val="ＭＳ Ｐゴシック"/>
        <family val="3"/>
        <charset val="128"/>
        <scheme val="minor"/>
      </rPr>
      <t>s1</t>
    </r>
    <rPh sb="0" eb="2">
      <t>ネンド</t>
    </rPh>
    <rPh sb="2" eb="3">
      <t>ソウ</t>
    </rPh>
    <phoneticPr fontId="1"/>
  </si>
  <si>
    <r>
      <rPr>
        <i/>
        <sz val="11"/>
        <color theme="1"/>
        <rFont val="ＭＳ Ｐゴシック"/>
        <family val="3"/>
        <charset val="128"/>
        <scheme val="minor"/>
      </rPr>
      <t>z</t>
    </r>
    <r>
      <rPr>
        <vertAlign val="subscript"/>
        <sz val="11"/>
        <color theme="1"/>
        <rFont val="ＭＳ Ｐゴシック"/>
        <family val="3"/>
        <charset val="128"/>
        <scheme val="minor"/>
      </rPr>
      <t>1</t>
    </r>
    <r>
      <rPr>
        <sz val="11"/>
        <color theme="1"/>
        <rFont val="ＭＳ Ｐゴシック"/>
        <family val="2"/>
        <charset val="128"/>
        <scheme val="minor"/>
      </rPr>
      <t xml:space="preserve"> =</t>
    </r>
    <phoneticPr fontId="1"/>
  </si>
  <si>
    <r>
      <rPr>
        <i/>
        <sz val="11"/>
        <color theme="1"/>
        <rFont val="ＭＳ Ｐゴシック"/>
        <family val="3"/>
        <charset val="128"/>
        <scheme val="minor"/>
      </rPr>
      <t>p</t>
    </r>
    <r>
      <rPr>
        <vertAlign val="subscript"/>
        <sz val="11"/>
        <color theme="1"/>
        <rFont val="ＭＳ Ｐゴシック"/>
        <family val="3"/>
        <charset val="128"/>
        <scheme val="minor"/>
      </rPr>
      <t>1</t>
    </r>
    <r>
      <rPr>
        <sz val="11"/>
        <color theme="1"/>
        <rFont val="ＭＳ Ｐゴシック"/>
        <family val="2"/>
        <charset val="128"/>
        <scheme val="minor"/>
      </rPr>
      <t xml:space="preserve"> =</t>
    </r>
    <phoneticPr fontId="1"/>
  </si>
  <si>
    <r>
      <rPr>
        <i/>
        <sz val="11"/>
        <color theme="1"/>
        <rFont val="ＭＳ Ｐゴシック"/>
        <family val="3"/>
        <charset val="128"/>
        <scheme val="minor"/>
      </rPr>
      <t>H</t>
    </r>
    <r>
      <rPr>
        <vertAlign val="subscript"/>
        <sz val="11"/>
        <color theme="1"/>
        <rFont val="ＭＳ Ｐゴシック"/>
        <family val="3"/>
        <charset val="128"/>
        <scheme val="minor"/>
      </rPr>
      <t>1</t>
    </r>
    <r>
      <rPr>
        <sz val="11"/>
        <color theme="1"/>
        <rFont val="ＭＳ Ｐゴシック"/>
        <family val="2"/>
        <charset val="128"/>
        <scheme val="minor"/>
      </rPr>
      <t xml:space="preserve"> =</t>
    </r>
    <phoneticPr fontId="1"/>
  </si>
  <si>
    <r>
      <rPr>
        <i/>
        <sz val="11"/>
        <color theme="1"/>
        <rFont val="ＭＳ Ｐゴシック"/>
        <family val="3"/>
        <charset val="128"/>
        <scheme val="minor"/>
      </rPr>
      <t>z</t>
    </r>
    <r>
      <rPr>
        <vertAlign val="subscript"/>
        <sz val="11"/>
        <color theme="1"/>
        <rFont val="ＭＳ Ｐゴシック"/>
        <family val="3"/>
        <charset val="128"/>
        <scheme val="minor"/>
      </rPr>
      <t>2</t>
    </r>
    <r>
      <rPr>
        <sz val="11"/>
        <color theme="1"/>
        <rFont val="ＭＳ Ｐゴシック"/>
        <family val="2"/>
        <charset val="128"/>
        <scheme val="minor"/>
      </rPr>
      <t xml:space="preserve"> =</t>
    </r>
    <phoneticPr fontId="1"/>
  </si>
  <si>
    <r>
      <rPr>
        <i/>
        <sz val="11"/>
        <color theme="1"/>
        <rFont val="ＭＳ Ｐゴシック"/>
        <family val="3"/>
        <charset val="128"/>
        <scheme val="minor"/>
      </rPr>
      <t>p</t>
    </r>
    <r>
      <rPr>
        <vertAlign val="subscript"/>
        <sz val="11"/>
        <color theme="1"/>
        <rFont val="ＭＳ Ｐゴシック"/>
        <family val="3"/>
        <charset val="128"/>
        <scheme val="minor"/>
      </rPr>
      <t>2</t>
    </r>
    <r>
      <rPr>
        <sz val="11"/>
        <color theme="1"/>
        <rFont val="ＭＳ Ｐゴシック"/>
        <family val="2"/>
        <charset val="128"/>
        <scheme val="minor"/>
      </rPr>
      <t xml:space="preserve"> =</t>
    </r>
    <phoneticPr fontId="1"/>
  </si>
  <si>
    <r>
      <rPr>
        <i/>
        <sz val="11"/>
        <color theme="1"/>
        <rFont val="ＭＳ Ｐゴシック"/>
        <family val="3"/>
        <charset val="128"/>
        <scheme val="minor"/>
      </rPr>
      <t>H</t>
    </r>
    <r>
      <rPr>
        <vertAlign val="subscript"/>
        <sz val="11"/>
        <color theme="1"/>
        <rFont val="ＭＳ Ｐゴシック"/>
        <family val="3"/>
        <charset val="128"/>
        <scheme val="minor"/>
      </rPr>
      <t>2</t>
    </r>
    <r>
      <rPr>
        <sz val="11"/>
        <color theme="1"/>
        <rFont val="ＭＳ Ｐゴシック"/>
        <family val="2"/>
        <charset val="128"/>
        <scheme val="minor"/>
      </rPr>
      <t xml:space="preserve"> =</t>
    </r>
    <phoneticPr fontId="1"/>
  </si>
  <si>
    <r>
      <rPr>
        <i/>
        <sz val="11"/>
        <color theme="1"/>
        <rFont val="ＭＳ Ｐゴシック"/>
        <family val="3"/>
        <charset val="128"/>
        <scheme val="minor"/>
      </rPr>
      <t>z</t>
    </r>
    <r>
      <rPr>
        <vertAlign val="subscript"/>
        <sz val="11"/>
        <color theme="1"/>
        <rFont val="ＭＳ Ｐゴシック"/>
        <family val="3"/>
        <charset val="128"/>
        <scheme val="minor"/>
      </rPr>
      <t>3</t>
    </r>
    <r>
      <rPr>
        <sz val="11"/>
        <color theme="1"/>
        <rFont val="ＭＳ Ｐゴシック"/>
        <family val="2"/>
        <charset val="128"/>
        <scheme val="minor"/>
      </rPr>
      <t xml:space="preserve"> =</t>
    </r>
    <phoneticPr fontId="1"/>
  </si>
  <si>
    <r>
      <rPr>
        <i/>
        <sz val="11"/>
        <color theme="1"/>
        <rFont val="ＭＳ Ｐゴシック"/>
        <family val="3"/>
        <charset val="128"/>
        <scheme val="minor"/>
      </rPr>
      <t>p</t>
    </r>
    <r>
      <rPr>
        <vertAlign val="subscript"/>
        <sz val="11"/>
        <color theme="1"/>
        <rFont val="ＭＳ Ｐゴシック"/>
        <family val="3"/>
        <charset val="128"/>
        <scheme val="minor"/>
      </rPr>
      <t>3</t>
    </r>
    <r>
      <rPr>
        <sz val="11"/>
        <color theme="1"/>
        <rFont val="ＭＳ Ｐゴシック"/>
        <family val="2"/>
        <charset val="128"/>
        <scheme val="minor"/>
      </rPr>
      <t xml:space="preserve"> =</t>
    </r>
    <phoneticPr fontId="1"/>
  </si>
  <si>
    <r>
      <rPr>
        <i/>
        <sz val="11"/>
        <color theme="1"/>
        <rFont val="ＭＳ Ｐゴシック"/>
        <family val="3"/>
        <charset val="128"/>
        <scheme val="minor"/>
      </rPr>
      <t>H3</t>
    </r>
    <r>
      <rPr>
        <sz val="11"/>
        <color theme="1"/>
        <rFont val="ＭＳ Ｐゴシック"/>
        <family val="2"/>
        <charset val="128"/>
        <scheme val="minor"/>
      </rPr>
      <t xml:space="preserve"> =</t>
    </r>
    <phoneticPr fontId="1"/>
  </si>
  <si>
    <t>問題3.2と同質の問題です。</t>
    <rPh sb="0" eb="2">
      <t>モンダイ</t>
    </rPh>
    <rPh sb="6" eb="8">
      <t>ドウシツ</t>
    </rPh>
    <rPh sb="9" eb="11">
      <t>モンダイ</t>
    </rPh>
    <phoneticPr fontId="1"/>
  </si>
  <si>
    <r>
      <rPr>
        <i/>
        <sz val="11"/>
        <color theme="1"/>
        <rFont val="ＭＳ Ｐゴシック"/>
        <family val="3"/>
        <charset val="128"/>
        <scheme val="minor"/>
      </rPr>
      <t>K</t>
    </r>
    <r>
      <rPr>
        <vertAlign val="subscript"/>
        <sz val="11"/>
        <color theme="1"/>
        <rFont val="ＭＳ Ｐゴシック"/>
        <family val="3"/>
        <charset val="128"/>
        <scheme val="minor"/>
      </rPr>
      <t>s1</t>
    </r>
    <r>
      <rPr>
        <sz val="11"/>
        <color theme="1"/>
        <rFont val="ＭＳ Ｐゴシック"/>
        <family val="2"/>
        <charset val="128"/>
        <scheme val="minor"/>
      </rPr>
      <t>/</t>
    </r>
    <r>
      <rPr>
        <i/>
        <sz val="11"/>
        <color theme="1"/>
        <rFont val="ＭＳ Ｐゴシック"/>
        <family val="3"/>
        <charset val="128"/>
        <scheme val="minor"/>
      </rPr>
      <t>K</t>
    </r>
    <r>
      <rPr>
        <vertAlign val="subscript"/>
        <sz val="11"/>
        <color theme="1"/>
        <rFont val="ＭＳ Ｐゴシック"/>
        <family val="3"/>
        <charset val="128"/>
        <scheme val="minor"/>
      </rPr>
      <t>s2</t>
    </r>
    <phoneticPr fontId="1"/>
  </si>
  <si>
    <r>
      <rPr>
        <i/>
        <sz val="11"/>
        <color theme="1"/>
        <rFont val="ＭＳ Ｐゴシック"/>
        <family val="3"/>
        <charset val="128"/>
        <scheme val="minor"/>
      </rPr>
      <t>L</t>
    </r>
    <r>
      <rPr>
        <vertAlign val="subscript"/>
        <sz val="11"/>
        <color theme="1"/>
        <rFont val="ＭＳ Ｐゴシック"/>
        <family val="3"/>
        <charset val="128"/>
        <scheme val="minor"/>
      </rPr>
      <t>1</t>
    </r>
    <r>
      <rPr>
        <sz val="11"/>
        <color theme="1"/>
        <rFont val="ＭＳ Ｐゴシック"/>
        <family val="2"/>
        <charset val="128"/>
        <scheme val="minor"/>
      </rPr>
      <t>/</t>
    </r>
    <r>
      <rPr>
        <i/>
        <sz val="11"/>
        <color theme="1"/>
        <rFont val="ＭＳ Ｐゴシック"/>
        <family val="3"/>
        <charset val="128"/>
        <scheme val="minor"/>
      </rPr>
      <t>L</t>
    </r>
    <r>
      <rPr>
        <vertAlign val="subscript"/>
        <sz val="11"/>
        <color theme="1"/>
        <rFont val="ＭＳ Ｐゴシック"/>
        <family val="3"/>
        <charset val="128"/>
        <scheme val="minor"/>
      </rPr>
      <t>2</t>
    </r>
    <phoneticPr fontId="1"/>
  </si>
  <si>
    <t>z</t>
    <phoneticPr fontId="1"/>
  </si>
  <si>
    <t>H</t>
    <phoneticPr fontId="1"/>
  </si>
  <si>
    <t>p</t>
    <phoneticPr fontId="1"/>
  </si>
  <si>
    <t>問題3.4</t>
    <rPh sb="0" eb="2">
      <t>モンダイ</t>
    </rPh>
    <phoneticPr fontId="1"/>
  </si>
  <si>
    <t>（岡橋）</t>
    <rPh sb="1" eb="3">
      <t>オカハシ</t>
    </rPh>
    <phoneticPr fontId="1"/>
  </si>
  <si>
    <t>定常水分フラックス(Jw)とは、単位断面積あたりの流量。</t>
    <rPh sb="0" eb="2">
      <t>テイジョウ</t>
    </rPh>
    <rPh sb="2" eb="4">
      <t>スイブン</t>
    </rPh>
    <rPh sb="16" eb="18">
      <t>タンイ</t>
    </rPh>
    <rPh sb="18" eb="21">
      <t>ダンメンセキ</t>
    </rPh>
    <rPh sb="25" eb="27">
      <t>リュウリョウ</t>
    </rPh>
    <phoneticPr fontId="1"/>
  </si>
  <si>
    <t>(b)</t>
    <phoneticPr fontId="1"/>
  </si>
  <si>
    <r>
      <t>湛水</t>
    </r>
    <r>
      <rPr>
        <i/>
        <sz val="11"/>
        <color theme="1"/>
        <rFont val="ＭＳ Ｐゴシック"/>
        <family val="3"/>
        <charset val="128"/>
        <scheme val="minor"/>
      </rPr>
      <t>b (</t>
    </r>
    <r>
      <rPr>
        <sz val="11"/>
        <color theme="1"/>
        <rFont val="ＭＳ Ｐゴシック"/>
        <family val="2"/>
        <charset val="128"/>
        <scheme val="minor"/>
      </rPr>
      <t>cm)</t>
    </r>
    <rPh sb="0" eb="2">
      <t>タンスイ</t>
    </rPh>
    <phoneticPr fontId="1"/>
  </si>
  <si>
    <r>
      <t>長さ</t>
    </r>
    <r>
      <rPr>
        <i/>
        <sz val="11"/>
        <color theme="1"/>
        <rFont val="ＭＳ Ｐゴシック"/>
        <family val="3"/>
        <charset val="128"/>
        <scheme val="minor"/>
      </rPr>
      <t xml:space="preserve">L </t>
    </r>
    <r>
      <rPr>
        <sz val="11"/>
        <color theme="1"/>
        <rFont val="ＭＳ Ｐゴシック"/>
        <family val="2"/>
        <charset val="128"/>
        <scheme val="minor"/>
      </rPr>
      <t>(cm)</t>
    </r>
    <rPh sb="0" eb="1">
      <t>ナガ</t>
    </rPh>
    <phoneticPr fontId="1"/>
  </si>
  <si>
    <r>
      <t>流量</t>
    </r>
    <r>
      <rPr>
        <i/>
        <sz val="11"/>
        <color theme="1"/>
        <rFont val="ＭＳ Ｐゴシック"/>
        <family val="3"/>
        <charset val="128"/>
        <scheme val="minor"/>
      </rPr>
      <t>Q</t>
    </r>
    <r>
      <rPr>
        <sz val="11"/>
        <color theme="1"/>
        <rFont val="ＭＳ Ｐゴシック"/>
        <family val="2"/>
        <charset val="128"/>
        <scheme val="minor"/>
      </rPr>
      <t xml:space="preserve"> (cm³h⁻³)</t>
    </r>
    <rPh sb="0" eb="2">
      <t>リュウリョウ</t>
    </rPh>
    <phoneticPr fontId="1"/>
  </si>
  <si>
    <r>
      <t>断面積</t>
    </r>
    <r>
      <rPr>
        <i/>
        <sz val="11"/>
        <color theme="1"/>
        <rFont val="ＭＳ Ｐゴシック"/>
        <family val="3"/>
        <charset val="128"/>
        <scheme val="minor"/>
      </rPr>
      <t>A</t>
    </r>
    <r>
      <rPr>
        <sz val="11"/>
        <color theme="1"/>
        <rFont val="ＭＳ Ｐゴシック"/>
        <family val="2"/>
        <charset val="128"/>
        <scheme val="minor"/>
      </rPr>
      <t xml:space="preserve"> (cm²)</t>
    </r>
    <rPh sb="0" eb="3">
      <t>ダンメンセキ</t>
    </rPh>
    <phoneticPr fontId="1"/>
  </si>
  <si>
    <t>よって、</t>
    <phoneticPr fontId="1"/>
  </si>
  <si>
    <t>=</t>
    <phoneticPr fontId="1"/>
  </si>
  <si>
    <t>鉛直流れのダルシー則を用いて計算する。</t>
    <rPh sb="0" eb="2">
      <t>エンチョク</t>
    </rPh>
    <rPh sb="2" eb="3">
      <t>ナガ</t>
    </rPh>
    <rPh sb="9" eb="10">
      <t>ソク</t>
    </rPh>
    <rPh sb="11" eb="12">
      <t>モチ</t>
    </rPh>
    <rPh sb="14" eb="16">
      <t>ケイサン</t>
    </rPh>
    <phoneticPr fontId="1"/>
  </si>
  <si>
    <t>まず、基準高を下端とし、下端境界圧力を整理する(Z₁=P₁=H₁=0)。</t>
    <rPh sb="3" eb="5">
      <t>キジュン</t>
    </rPh>
    <rPh sb="5" eb="6">
      <t>タカ</t>
    </rPh>
    <rPh sb="7" eb="9">
      <t>カタン</t>
    </rPh>
    <rPh sb="12" eb="14">
      <t>カタン</t>
    </rPh>
    <rPh sb="14" eb="16">
      <t>キョウカイ</t>
    </rPh>
    <rPh sb="16" eb="18">
      <t>アツリョク</t>
    </rPh>
    <rPh sb="19" eb="21">
      <t>セイリ</t>
    </rPh>
    <phoneticPr fontId="1"/>
  </si>
  <si>
    <t>ここで、HはZにおける全水頭である。</t>
    <rPh sb="11" eb="12">
      <t>ゼン</t>
    </rPh>
    <rPh sb="12" eb="14">
      <t>スイトウ</t>
    </rPh>
    <phoneticPr fontId="1"/>
  </si>
  <si>
    <t>問題3.5</t>
    <rPh sb="0" eb="2">
      <t>モンダイ</t>
    </rPh>
    <phoneticPr fontId="1"/>
  </si>
  <si>
    <t>パイプ</t>
    <phoneticPr fontId="1"/>
  </si>
  <si>
    <t>カラム</t>
    <phoneticPr fontId="1"/>
  </si>
  <si>
    <t>内径(cm)</t>
    <rPh sb="0" eb="2">
      <t>ナイケイ</t>
    </rPh>
    <phoneticPr fontId="1"/>
  </si>
  <si>
    <t>半径(cm)</t>
    <rPh sb="0" eb="2">
      <t>ハンケイ</t>
    </rPh>
    <phoneticPr fontId="1"/>
  </si>
  <si>
    <t>断面積(cm²)</t>
    <rPh sb="0" eb="3">
      <t>ダンメンセキ</t>
    </rPh>
    <phoneticPr fontId="1"/>
  </si>
  <si>
    <t>流量(cm³/h)</t>
    <rPh sb="0" eb="2">
      <t>リュウリョウ</t>
    </rPh>
    <phoneticPr fontId="1"/>
  </si>
  <si>
    <t>|Jw|</t>
    <phoneticPr fontId="1"/>
  </si>
  <si>
    <t>Ks</t>
    <phoneticPr fontId="1"/>
  </si>
  <si>
    <t>=</t>
    <phoneticPr fontId="1"/>
  </si>
  <si>
    <t>cm/h</t>
    <phoneticPr fontId="1"/>
  </si>
  <si>
    <t>cm</t>
    <phoneticPr fontId="1"/>
  </si>
  <si>
    <r>
      <t>水の粘性係数</t>
    </r>
    <r>
      <rPr>
        <sz val="11"/>
        <color theme="1"/>
        <rFont val="Symbol"/>
        <family val="1"/>
        <charset val="2"/>
      </rPr>
      <t>h</t>
    </r>
    <r>
      <rPr>
        <sz val="11"/>
        <color theme="1"/>
        <rFont val="ＭＳ Ｐゴシック"/>
        <family val="2"/>
        <charset val="128"/>
        <scheme val="minor"/>
      </rPr>
      <t xml:space="preserve"> =</t>
    </r>
    <rPh sb="0" eb="1">
      <t>ミズ</t>
    </rPh>
    <rPh sb="2" eb="4">
      <t>ネンセイ</t>
    </rPh>
    <rPh sb="4" eb="6">
      <t>ケイスウ</t>
    </rPh>
    <phoneticPr fontId="1"/>
  </si>
  <si>
    <t>kg m⁻¹s⁻¹</t>
    <phoneticPr fontId="1"/>
  </si>
  <si>
    <r>
      <t>静水圧差</t>
    </r>
    <r>
      <rPr>
        <sz val="11"/>
        <color theme="1"/>
        <rFont val="ＭＳ Ｐゴシック"/>
        <family val="1"/>
        <charset val="2"/>
        <scheme val="minor"/>
      </rPr>
      <t xml:space="preserve">    </t>
    </r>
    <r>
      <rPr>
        <sz val="11"/>
        <color theme="1"/>
        <rFont val="Symbol"/>
        <family val="1"/>
        <charset val="2"/>
      </rPr>
      <t>D</t>
    </r>
    <r>
      <rPr>
        <i/>
        <sz val="11"/>
        <color theme="1"/>
        <rFont val="ＭＳ Ｐゴシック"/>
        <family val="3"/>
        <charset val="128"/>
        <scheme val="minor"/>
      </rPr>
      <t xml:space="preserve">p </t>
    </r>
    <r>
      <rPr>
        <sz val="11"/>
        <color theme="1"/>
        <rFont val="ＭＳ Ｐゴシック"/>
        <family val="2"/>
        <charset val="128"/>
        <scheme val="minor"/>
      </rPr>
      <t xml:space="preserve">= </t>
    </r>
    <rPh sb="0" eb="3">
      <t>セイスイアツ</t>
    </rPh>
    <rPh sb="3" eb="4">
      <t>サ</t>
    </rPh>
    <phoneticPr fontId="1"/>
  </si>
  <si>
    <r>
      <t>重力加速度</t>
    </r>
    <r>
      <rPr>
        <sz val="11"/>
        <color theme="1"/>
        <rFont val="ＭＳ Ｐゴシック"/>
        <family val="3"/>
        <charset val="128"/>
        <scheme val="minor"/>
      </rPr>
      <t xml:space="preserve">  </t>
    </r>
    <r>
      <rPr>
        <sz val="11"/>
        <color theme="1"/>
        <rFont val="ＭＳ Ｐゴシック"/>
        <family val="2"/>
        <charset val="128"/>
        <scheme val="minor"/>
      </rPr>
      <t xml:space="preserve"> </t>
    </r>
    <r>
      <rPr>
        <i/>
        <sz val="11"/>
        <color theme="1"/>
        <rFont val="ＭＳ Ｐゴシック"/>
        <family val="3"/>
        <charset val="128"/>
        <scheme val="minor"/>
      </rPr>
      <t>g</t>
    </r>
    <r>
      <rPr>
        <sz val="11"/>
        <color theme="1"/>
        <rFont val="ＭＳ Ｐゴシック"/>
        <family val="2"/>
        <charset val="128"/>
        <scheme val="minor"/>
      </rPr>
      <t xml:space="preserve"> =</t>
    </r>
    <rPh sb="0" eb="2">
      <t>ジュウリョク</t>
    </rPh>
    <rPh sb="2" eb="5">
      <t>カソクド</t>
    </rPh>
    <phoneticPr fontId="1"/>
  </si>
  <si>
    <t>g cm⁻¹s⁻¹</t>
    <phoneticPr fontId="1"/>
  </si>
  <si>
    <r>
      <t>cm s</t>
    </r>
    <r>
      <rPr>
        <vertAlign val="superscript"/>
        <sz val="11"/>
        <color theme="1"/>
        <rFont val="ＭＳ Ｐゴシック"/>
        <family val="3"/>
        <charset val="128"/>
        <scheme val="minor"/>
      </rPr>
      <t>-2</t>
    </r>
    <phoneticPr fontId="1"/>
  </si>
  <si>
    <r>
      <t>水の密度</t>
    </r>
    <r>
      <rPr>
        <sz val="11"/>
        <color theme="1"/>
        <rFont val="ＭＳ Ｐゴシック"/>
        <family val="1"/>
        <charset val="2"/>
        <scheme val="minor"/>
      </rPr>
      <t xml:space="preserve">    </t>
    </r>
    <r>
      <rPr>
        <sz val="11"/>
        <color theme="1"/>
        <rFont val="Symbol"/>
        <family val="1"/>
        <charset val="2"/>
      </rPr>
      <t>r</t>
    </r>
    <r>
      <rPr>
        <vertAlign val="subscript"/>
        <sz val="11"/>
        <color theme="1"/>
        <rFont val="ＭＳ Ｐゴシック"/>
        <family val="3"/>
        <charset val="128"/>
        <scheme val="minor"/>
      </rPr>
      <t>w</t>
    </r>
    <r>
      <rPr>
        <sz val="11"/>
        <color theme="1"/>
        <rFont val="ＭＳ Ｐゴシック"/>
        <family val="2"/>
        <charset val="128"/>
        <scheme val="minor"/>
      </rPr>
      <t xml:space="preserve"> =</t>
    </r>
    <rPh sb="0" eb="1">
      <t>ミズ</t>
    </rPh>
    <rPh sb="2" eb="4">
      <t>ミツド</t>
    </rPh>
    <phoneticPr fontId="1"/>
  </si>
  <si>
    <r>
      <t>g cm</t>
    </r>
    <r>
      <rPr>
        <vertAlign val="superscript"/>
        <sz val="11"/>
        <color theme="1"/>
        <rFont val="ＭＳ Ｐゴシック"/>
        <family val="3"/>
        <charset val="128"/>
        <scheme val="minor"/>
      </rPr>
      <t>-3</t>
    </r>
    <phoneticPr fontId="1"/>
  </si>
  <si>
    <t>ポワズイユ則を用いて計算する。</t>
    <rPh sb="5" eb="6">
      <t>ソク</t>
    </rPh>
    <rPh sb="7" eb="8">
      <t>モチ</t>
    </rPh>
    <rPh sb="10" eb="12">
      <t>ケイサン</t>
    </rPh>
    <phoneticPr fontId="1"/>
  </si>
  <si>
    <t>とすれば、</t>
    <phoneticPr fontId="1"/>
  </si>
  <si>
    <r>
      <t>半径</t>
    </r>
    <r>
      <rPr>
        <i/>
        <sz val="11"/>
        <color theme="1"/>
        <rFont val="ＭＳ Ｐゴシック"/>
        <family val="3"/>
        <charset val="128"/>
        <scheme val="minor"/>
      </rPr>
      <t>r</t>
    </r>
    <r>
      <rPr>
        <sz val="11"/>
        <color theme="1"/>
        <rFont val="ＭＳ Ｐゴシック"/>
        <family val="3"/>
        <charset val="128"/>
        <scheme val="minor"/>
      </rPr>
      <t xml:space="preserve"> (mm)</t>
    </r>
    <rPh sb="0" eb="2">
      <t>ハンケイ</t>
    </rPh>
    <phoneticPr fontId="1"/>
  </si>
  <si>
    <t>まず、カラムにパイプを挿入した後の流量と断面積を求める。</t>
    <rPh sb="11" eb="13">
      <t>ソウニュウ</t>
    </rPh>
    <rPh sb="15" eb="16">
      <t>アト</t>
    </rPh>
    <rPh sb="17" eb="19">
      <t>リュウリョウ</t>
    </rPh>
    <rPh sb="20" eb="23">
      <t>ダンメンセキ</t>
    </rPh>
    <rPh sb="24" eb="25">
      <t>モト</t>
    </rPh>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</si>
  <si>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は土固有の値であり、</t>
    </r>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は圧力勾配の変化がないので問3.4で求めた値を用いる。</t>
    </r>
    <rPh sb="3" eb="4">
      <t>ド</t>
    </rPh>
    <rPh sb="4" eb="6">
      <t>コユウ</t>
    </rPh>
    <rPh sb="7" eb="8">
      <t>アタイ</t>
    </rPh>
    <rPh sb="15" eb="17">
      <t>アツリョク</t>
    </rPh>
    <rPh sb="17" eb="19">
      <t>コウバイ</t>
    </rPh>
    <rPh sb="20" eb="22">
      <t>ヘンカ</t>
    </rPh>
    <rPh sb="27" eb="28">
      <t>トイ</t>
    </rPh>
    <rPh sb="32" eb="33">
      <t>モト</t>
    </rPh>
    <rPh sb="35" eb="36">
      <t>アタイ</t>
    </rPh>
    <rPh sb="37" eb="38">
      <t>モチ</t>
    </rPh>
    <phoneticPr fontId="1"/>
  </si>
  <si>
    <t>次に、上端の境界圧力H₂を求め、ダルシー則に代入する。</t>
    <rPh sb="0" eb="1">
      <t>ツギ</t>
    </rPh>
    <rPh sb="3" eb="5">
      <t>ジョウタン</t>
    </rPh>
    <rPh sb="6" eb="8">
      <t>キョウカイ</t>
    </rPh>
    <rPh sb="8" eb="10">
      <t>アツリョク</t>
    </rPh>
    <rPh sb="13" eb="14">
      <t>モト</t>
    </rPh>
    <rPh sb="20" eb="21">
      <t>ソク</t>
    </rPh>
    <rPh sb="22" eb="24">
      <t>ダイニュウ</t>
    </rPh>
    <phoneticPr fontId="1"/>
  </si>
  <si>
    <t>(cm h⁻¹)</t>
    <phoneticPr fontId="1"/>
  </si>
  <si>
    <t>但し、下向きを負とする。</t>
    <rPh sb="0" eb="1">
      <t>タダ</t>
    </rPh>
    <rPh sb="3" eb="5">
      <t>シタム</t>
    </rPh>
    <rPh sb="7" eb="8">
      <t>フ</t>
    </rPh>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</si>
  <si>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 xml:space="preserve"> =</t>
    </r>
    <phoneticPr fontId="1"/>
  </si>
  <si>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3"/>
        <charset val="128"/>
        <scheme val="minor"/>
      </rPr>
      <t xml:space="preserve"> =</t>
    </r>
    <phoneticPr fontId="1"/>
  </si>
  <si>
    <r>
      <t>cm</t>
    </r>
    <r>
      <rPr>
        <vertAlign val="superscript"/>
        <sz val="11"/>
        <color theme="1"/>
        <rFont val="ＭＳ Ｐゴシック"/>
        <family val="3"/>
        <charset val="128"/>
        <scheme val="minor"/>
      </rPr>
      <t>2</t>
    </r>
    <phoneticPr fontId="1"/>
  </si>
  <si>
    <r>
      <t>cm</t>
    </r>
    <r>
      <rPr>
        <vertAlign val="superscript"/>
        <sz val="11"/>
        <color theme="1"/>
        <rFont val="ＭＳ Ｐゴシック"/>
        <family val="3"/>
        <charset val="128"/>
        <scheme val="minor"/>
      </rPr>
      <t xml:space="preserve">3 </t>
    </r>
    <r>
      <rPr>
        <sz val="11"/>
        <color theme="1"/>
        <rFont val="ＭＳ Ｐゴシック"/>
        <family val="3"/>
        <charset val="128"/>
        <scheme val="minor"/>
      </rPr>
      <t>h</t>
    </r>
    <r>
      <rPr>
        <vertAlign val="superscript"/>
        <sz val="11"/>
        <color theme="1"/>
        <rFont val="ＭＳ Ｐゴシック"/>
        <family val="3"/>
        <charset val="128"/>
        <scheme val="minor"/>
      </rPr>
      <t>-1</t>
    </r>
    <phoneticPr fontId="1"/>
  </si>
  <si>
    <t xml:space="preserve">        カラム断面積=</t>
    <rPh sb="11" eb="14">
      <t>ダンメンセキ</t>
    </rPh>
    <phoneticPr fontId="1"/>
  </si>
  <si>
    <t xml:space="preserve">        カラム流量=</t>
    <rPh sb="11" eb="13">
      <t>リュウリョウ</t>
    </rPh>
    <phoneticPr fontId="1"/>
  </si>
  <si>
    <t>よって、カラムとパイプの</t>
    <phoneticPr fontId="1"/>
  </si>
  <si>
    <r>
      <t>　　　　流量の和</t>
    </r>
    <r>
      <rPr>
        <i/>
        <sz val="11"/>
        <color theme="1"/>
        <rFont val="ＭＳ Ｐゴシック"/>
        <family val="3"/>
        <charset val="128"/>
        <scheme val="minor"/>
      </rPr>
      <t>Q</t>
    </r>
    <r>
      <rPr>
        <vertAlign val="subscript"/>
        <sz val="11"/>
        <color theme="1"/>
        <rFont val="ＭＳ Ｐゴシック"/>
        <family val="3"/>
        <charset val="128"/>
        <scheme val="minor"/>
      </rPr>
      <t>tot</t>
    </r>
    <r>
      <rPr>
        <sz val="11"/>
        <color theme="1"/>
        <rFont val="ＭＳ Ｐゴシック"/>
        <family val="2"/>
        <charset val="128"/>
        <scheme val="minor"/>
      </rPr>
      <t>=</t>
    </r>
    <rPh sb="4" eb="6">
      <t>リュウリョウ</t>
    </rPh>
    <rPh sb="7" eb="8">
      <t>ワ</t>
    </rPh>
    <phoneticPr fontId="1"/>
  </si>
  <si>
    <r>
      <t xml:space="preserve">      </t>
    </r>
    <r>
      <rPr>
        <i/>
        <sz val="11"/>
        <color theme="1"/>
        <rFont val="ＭＳ Ｐゴシック"/>
        <family val="3"/>
        <charset val="128"/>
        <scheme val="minor"/>
      </rPr>
      <t>J</t>
    </r>
    <r>
      <rPr>
        <vertAlign val="subscript"/>
        <sz val="11"/>
        <color theme="1"/>
        <rFont val="ＭＳ Ｐゴシック"/>
        <family val="3"/>
        <charset val="128"/>
        <scheme val="minor"/>
      </rPr>
      <t>tot</t>
    </r>
    <r>
      <rPr>
        <sz val="11"/>
        <color theme="1"/>
        <rFont val="ＭＳ Ｐゴシック"/>
        <family val="2"/>
        <charset val="128"/>
        <scheme val="minor"/>
      </rPr>
      <t>=</t>
    </r>
    <phoneticPr fontId="1"/>
  </si>
  <si>
    <t>(c)</t>
    <phoneticPr fontId="1"/>
  </si>
  <si>
    <t>=</t>
    <phoneticPr fontId="1"/>
  </si>
  <si>
    <t>=</t>
    <phoneticPr fontId="1"/>
  </si>
  <si>
    <r>
      <t>流量</t>
    </r>
    <r>
      <rPr>
        <i/>
        <sz val="11"/>
        <color theme="1"/>
        <rFont val="ＭＳ Ｐゴシック"/>
        <family val="3"/>
        <charset val="128"/>
        <scheme val="minor"/>
      </rPr>
      <t>Q</t>
    </r>
    <rPh sb="0" eb="2">
      <t>リュウリョウ</t>
    </rPh>
    <phoneticPr fontId="1"/>
  </si>
  <si>
    <r>
      <t>断面積</t>
    </r>
    <r>
      <rPr>
        <i/>
        <sz val="11"/>
        <color theme="1"/>
        <rFont val="ＭＳ Ｐゴシック"/>
        <family val="3"/>
        <charset val="128"/>
        <scheme val="minor"/>
      </rPr>
      <t>A</t>
    </r>
    <rPh sb="0" eb="3">
      <t>ダンメンセキ</t>
    </rPh>
    <phoneticPr fontId="1"/>
  </si>
  <si>
    <r>
      <t>長さ</t>
    </r>
    <r>
      <rPr>
        <i/>
        <sz val="11"/>
        <color theme="1"/>
        <rFont val="ＭＳ Ｐゴシック"/>
        <family val="3"/>
        <charset val="128"/>
        <scheme val="minor"/>
      </rPr>
      <t>L</t>
    </r>
    <rPh sb="0" eb="1">
      <t>ナガ</t>
    </rPh>
    <phoneticPr fontId="1"/>
  </si>
  <si>
    <r>
      <t>湛水</t>
    </r>
    <r>
      <rPr>
        <i/>
        <sz val="11"/>
        <color theme="1"/>
        <rFont val="ＭＳ Ｐゴシック"/>
        <family val="3"/>
        <charset val="128"/>
        <scheme val="minor"/>
      </rPr>
      <t>b</t>
    </r>
    <rPh sb="0" eb="2">
      <t>タンスイ</t>
    </rPh>
    <phoneticPr fontId="1"/>
  </si>
  <si>
    <t>cm³h⁻³</t>
    <phoneticPr fontId="1"/>
  </si>
  <si>
    <t>cm²</t>
    <phoneticPr fontId="1"/>
  </si>
  <si>
    <r>
      <t>追加：半径と</t>
    </r>
    <r>
      <rPr>
        <b/>
        <i/>
        <sz val="11"/>
        <color theme="1"/>
        <rFont val="ＭＳ Ｐゴシック"/>
        <family val="3"/>
        <charset val="128"/>
        <scheme val="minor"/>
      </rPr>
      <t>K</t>
    </r>
    <r>
      <rPr>
        <b/>
        <vertAlign val="subscript"/>
        <sz val="11"/>
        <color theme="1"/>
        <rFont val="ＭＳ Ｐゴシック"/>
        <family val="3"/>
        <charset val="128"/>
        <scheme val="minor"/>
      </rPr>
      <t>tot</t>
    </r>
    <r>
      <rPr>
        <b/>
        <sz val="11"/>
        <color theme="1"/>
        <rFont val="ＭＳ Ｐゴシック"/>
        <family val="3"/>
        <charset val="128"/>
        <scheme val="minor"/>
      </rPr>
      <t>や</t>
    </r>
    <r>
      <rPr>
        <b/>
        <i/>
        <sz val="11"/>
        <color theme="1"/>
        <rFont val="ＭＳ Ｐゴシック"/>
        <family val="3"/>
        <charset val="128"/>
        <scheme val="minor"/>
      </rPr>
      <t>J</t>
    </r>
    <r>
      <rPr>
        <b/>
        <vertAlign val="subscript"/>
        <sz val="11"/>
        <color theme="1"/>
        <rFont val="ＭＳ Ｐゴシック"/>
        <family val="3"/>
        <charset val="128"/>
        <scheme val="minor"/>
      </rPr>
      <t>tot</t>
    </r>
    <r>
      <rPr>
        <b/>
        <sz val="11"/>
        <color theme="1"/>
        <rFont val="ＭＳ Ｐゴシック"/>
        <family val="3"/>
        <charset val="128"/>
        <scheme val="minor"/>
      </rPr>
      <t>の関係</t>
    </r>
    <rPh sb="0" eb="2">
      <t>ツイカ</t>
    </rPh>
    <rPh sb="3" eb="5">
      <t>ハンケイ</t>
    </rPh>
    <rPh sb="16" eb="18">
      <t>カンケイ</t>
    </rPh>
    <phoneticPr fontId="1"/>
  </si>
  <si>
    <t>飽和定常流れなので、土の透水係数と水分フラックスは比例する（比例係数は動水勾配）。</t>
    <rPh sb="0" eb="2">
      <t>ホウワ</t>
    </rPh>
    <rPh sb="2" eb="4">
      <t>テイジョウ</t>
    </rPh>
    <rPh sb="4" eb="5">
      <t>ナガ</t>
    </rPh>
    <rPh sb="10" eb="11">
      <t>ツチ</t>
    </rPh>
    <rPh sb="12" eb="14">
      <t>トウスイ</t>
    </rPh>
    <rPh sb="14" eb="16">
      <t>ケイスウ</t>
    </rPh>
    <rPh sb="17" eb="19">
      <t>スイブン</t>
    </rPh>
    <rPh sb="25" eb="27">
      <t>ヒレイ</t>
    </rPh>
    <rPh sb="30" eb="32">
      <t>ヒレイ</t>
    </rPh>
    <rPh sb="32" eb="34">
      <t>ケイスウ</t>
    </rPh>
    <rPh sb="35" eb="37">
      <t>ドウスイ</t>
    </rPh>
    <rPh sb="37" eb="39">
      <t>コウバイ</t>
    </rPh>
    <phoneticPr fontId="1"/>
  </si>
  <si>
    <t>Qpipe/Qtot</t>
    <phoneticPr fontId="1"/>
  </si>
  <si>
    <t>パイプの内径が0.3mmより小さい場合は透水係数や水分フラックスに管が及ぼす影響は少ない。</t>
    <rPh sb="4" eb="6">
      <t>ナイケイ</t>
    </rPh>
    <rPh sb="14" eb="15">
      <t>チイ</t>
    </rPh>
    <rPh sb="17" eb="19">
      <t>バアイ</t>
    </rPh>
    <rPh sb="20" eb="22">
      <t>トウスイ</t>
    </rPh>
    <rPh sb="22" eb="24">
      <t>ケイスウ</t>
    </rPh>
    <rPh sb="25" eb="27">
      <t>スイブン</t>
    </rPh>
    <rPh sb="33" eb="34">
      <t>クダ</t>
    </rPh>
    <rPh sb="35" eb="36">
      <t>オヨ</t>
    </rPh>
    <rPh sb="38" eb="40">
      <t>エイキョウ</t>
    </rPh>
    <rPh sb="41" eb="42">
      <t>スク</t>
    </rPh>
    <phoneticPr fontId="1"/>
  </si>
  <si>
    <t>パイプの内径が1mm近くになると、全体に対するパイプ流れの割外が増加する。</t>
    <rPh sb="4" eb="6">
      <t>ナイケイ</t>
    </rPh>
    <rPh sb="10" eb="11">
      <t>チカ</t>
    </rPh>
    <rPh sb="17" eb="19">
      <t>ゼンタイ</t>
    </rPh>
    <rPh sb="20" eb="21">
      <t>タイ</t>
    </rPh>
    <rPh sb="26" eb="27">
      <t>リュウ</t>
    </rPh>
    <rPh sb="29" eb="30">
      <t>ワリ</t>
    </rPh>
    <rPh sb="30" eb="31">
      <t>ガイ</t>
    </rPh>
    <rPh sb="32" eb="34">
      <t>ゾウカ</t>
    </rPh>
    <phoneticPr fontId="1"/>
  </si>
  <si>
    <t>パイプの内径が1cm以上になると、ほぼ全ての水がパイプ内を流れるため、流量や透水係数はパイプの内径に比例する。</t>
    <rPh sb="4" eb="6">
      <t>ナイケイ</t>
    </rPh>
    <rPh sb="10" eb="12">
      <t>イジョウ</t>
    </rPh>
    <rPh sb="19" eb="20">
      <t>スベ</t>
    </rPh>
    <rPh sb="22" eb="23">
      <t>ミズ</t>
    </rPh>
    <rPh sb="27" eb="28">
      <t>ナイ</t>
    </rPh>
    <rPh sb="29" eb="30">
      <t>ナガ</t>
    </rPh>
    <rPh sb="35" eb="37">
      <t>リュウリョウ</t>
    </rPh>
    <rPh sb="38" eb="40">
      <t>トウスイ</t>
    </rPh>
    <rPh sb="40" eb="42">
      <t>ケイスウ</t>
    </rPh>
    <rPh sb="47" eb="49">
      <t>ナイケイ</t>
    </rPh>
    <rPh sb="50" eb="52">
      <t>ヒレイ</t>
    </rPh>
    <phoneticPr fontId="1"/>
  </si>
  <si>
    <t>流量が小さくなると、全体の水分流れに影響を及ぼすパイプの内径が小さくなる。</t>
    <rPh sb="0" eb="2">
      <t>リュウリョウ</t>
    </rPh>
    <rPh sb="3" eb="4">
      <t>チイ</t>
    </rPh>
    <rPh sb="10" eb="12">
      <t>ゼンタイ</t>
    </rPh>
    <rPh sb="13" eb="15">
      <t>スイブン</t>
    </rPh>
    <rPh sb="15" eb="16">
      <t>ナガ</t>
    </rPh>
    <rPh sb="18" eb="20">
      <t>エイキョウ</t>
    </rPh>
    <rPh sb="21" eb="22">
      <t>オヨ</t>
    </rPh>
    <rPh sb="28" eb="30">
      <t>ナイケイ</t>
    </rPh>
    <rPh sb="31" eb="32">
      <t>チイ</t>
    </rPh>
    <phoneticPr fontId="1"/>
  </si>
  <si>
    <t>実際の圃場における飽和水分流れに与えるマクロポアの影響を考察できる。</t>
    <rPh sb="0" eb="2">
      <t>ジッサイ</t>
    </rPh>
    <rPh sb="3" eb="5">
      <t>ホジョウ</t>
    </rPh>
    <rPh sb="9" eb="11">
      <t>ホウワ</t>
    </rPh>
    <rPh sb="11" eb="13">
      <t>スイブン</t>
    </rPh>
    <rPh sb="13" eb="14">
      <t>ナガ</t>
    </rPh>
    <rPh sb="16" eb="17">
      <t>アタ</t>
    </rPh>
    <rPh sb="25" eb="27">
      <t>エイキョウ</t>
    </rPh>
    <rPh sb="28" eb="30">
      <t>コウサツ</t>
    </rPh>
    <phoneticPr fontId="1"/>
  </si>
  <si>
    <r>
      <t>cmday</t>
    </r>
    <r>
      <rPr>
        <vertAlign val="superscript"/>
        <sz val="11"/>
        <color theme="1"/>
        <rFont val="ＭＳ Ｐゴシック"/>
        <family val="3"/>
        <charset val="128"/>
        <scheme val="minor"/>
      </rPr>
      <t>-1</t>
    </r>
    <phoneticPr fontId="1"/>
  </si>
  <si>
    <t>Ks=</t>
    <phoneticPr fontId="1"/>
  </si>
  <si>
    <t>問題3.6</t>
    <rPh sb="0" eb="2">
      <t>モンダイ</t>
    </rPh>
    <phoneticPr fontId="1"/>
  </si>
  <si>
    <t>x</t>
    <phoneticPr fontId="1"/>
  </si>
  <si>
    <t>以下の図のように、ポテンシャル水頭と記号を整理し、</t>
    <rPh sb="0" eb="2">
      <t>イカ</t>
    </rPh>
    <rPh sb="3" eb="4">
      <t>ズ</t>
    </rPh>
    <rPh sb="15" eb="17">
      <t>スイトウ</t>
    </rPh>
    <rPh sb="18" eb="20">
      <t>キゴウ</t>
    </rPh>
    <rPh sb="21" eb="23">
      <t>セイリ</t>
    </rPh>
    <phoneticPr fontId="1"/>
  </si>
  <si>
    <t>表　高さ、圧力水頭、全水頭</t>
    <rPh sb="0" eb="1">
      <t>ヒョウ</t>
    </rPh>
    <rPh sb="2" eb="3">
      <t>タカ</t>
    </rPh>
    <rPh sb="5" eb="7">
      <t>アツリョク</t>
    </rPh>
    <rPh sb="7" eb="8">
      <t>ミズ</t>
    </rPh>
    <rPh sb="8" eb="9">
      <t>トウ</t>
    </rPh>
    <rPh sb="10" eb="11">
      <t>ゼン</t>
    </rPh>
    <rPh sb="11" eb="13">
      <t>スイトウ</t>
    </rPh>
    <phoneticPr fontId="1"/>
  </si>
  <si>
    <t>p(cm)</t>
    <phoneticPr fontId="1"/>
  </si>
  <si>
    <t>H(cm)</t>
    <phoneticPr fontId="1"/>
  </si>
  <si>
    <t>z(cm)</t>
    <phoneticPr fontId="1"/>
  </si>
  <si>
    <r>
      <t>ダルシー則に代入し、定常水分フラックス</t>
    </r>
    <r>
      <rPr>
        <b/>
        <i/>
        <sz val="11"/>
        <color theme="1"/>
        <rFont val="ＭＳ Ｐゴシック"/>
        <family val="3"/>
        <charset val="128"/>
        <scheme val="minor"/>
      </rPr>
      <t>J</t>
    </r>
    <r>
      <rPr>
        <b/>
        <vertAlign val="subscript"/>
        <sz val="11"/>
        <color theme="1"/>
        <rFont val="ＭＳ Ｐゴシック"/>
        <family val="3"/>
        <charset val="128"/>
        <scheme val="minor"/>
      </rPr>
      <t>w</t>
    </r>
    <r>
      <rPr>
        <b/>
        <sz val="11"/>
        <color theme="1"/>
        <rFont val="ＭＳ Ｐゴシック"/>
        <family val="3"/>
        <charset val="128"/>
        <scheme val="minor"/>
      </rPr>
      <t>を求めます。</t>
    </r>
    <rPh sb="4" eb="5">
      <t>ソク</t>
    </rPh>
    <rPh sb="6" eb="8">
      <t>ダイニュウ</t>
    </rPh>
    <rPh sb="10" eb="12">
      <t>テイジョウ</t>
    </rPh>
    <rPh sb="12" eb="14">
      <t>スイブン</t>
    </rPh>
    <rPh sb="22" eb="23">
      <t>モト</t>
    </rPh>
    <phoneticPr fontId="1"/>
  </si>
  <si>
    <t>L-z-x</t>
    <phoneticPr fontId="1"/>
  </si>
  <si>
    <t>カラム全長</t>
    <rPh sb="3" eb="5">
      <t>ゼンチョウ</t>
    </rPh>
    <phoneticPr fontId="1"/>
  </si>
  <si>
    <r>
      <t>全長</t>
    </r>
    <r>
      <rPr>
        <i/>
        <sz val="11"/>
        <color theme="1"/>
        <rFont val="ＭＳ Ｐゴシック"/>
        <family val="3"/>
        <charset val="128"/>
        <scheme val="minor"/>
      </rPr>
      <t>L</t>
    </r>
    <r>
      <rPr>
        <sz val="11"/>
        <color theme="1"/>
        <rFont val="ＭＳ Ｐゴシック"/>
        <family val="2"/>
        <charset val="128"/>
        <scheme val="minor"/>
      </rPr>
      <t>(cm)</t>
    </r>
    <rPh sb="0" eb="2">
      <t>ゼンチョウ</t>
    </rPh>
    <phoneticPr fontId="1"/>
  </si>
  <si>
    <t>湛水深(cm)</t>
    <rPh sb="0" eb="2">
      <t>タンスイ</t>
    </rPh>
    <rPh sb="2" eb="3">
      <t>フカ</t>
    </rPh>
    <phoneticPr fontId="1"/>
  </si>
  <si>
    <r>
      <rPr>
        <i/>
        <sz val="11"/>
        <color theme="1"/>
        <rFont val="ＭＳ Ｐゴシック"/>
        <family val="3"/>
        <charset val="128"/>
        <scheme val="minor"/>
      </rPr>
      <t>p</t>
    </r>
    <r>
      <rPr>
        <vertAlign val="subscript"/>
        <sz val="11"/>
        <color theme="1"/>
        <rFont val="ＭＳ Ｐゴシック"/>
        <family val="3"/>
        <charset val="128"/>
        <scheme val="minor"/>
      </rPr>
      <t>2</t>
    </r>
    <r>
      <rPr>
        <sz val="11"/>
        <color theme="1"/>
        <rFont val="ＭＳ Ｐゴシック"/>
        <family val="2"/>
        <charset val="128"/>
        <scheme val="minor"/>
      </rPr>
      <t xml:space="preserve"> =</t>
    </r>
    <phoneticPr fontId="1"/>
  </si>
  <si>
    <r>
      <rPr>
        <i/>
        <sz val="11"/>
        <color theme="1"/>
        <rFont val="ＭＳ Ｐゴシック"/>
        <family val="3"/>
        <charset val="128"/>
        <scheme val="minor"/>
      </rPr>
      <t>H2</t>
    </r>
    <r>
      <rPr>
        <sz val="11"/>
        <color theme="1"/>
        <rFont val="ＭＳ Ｐゴシック"/>
        <family val="2"/>
        <charset val="128"/>
        <scheme val="minor"/>
      </rPr>
      <t xml:space="preserve"> =</t>
    </r>
    <phoneticPr fontId="1"/>
  </si>
  <si>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3"/>
        <charset val="128"/>
        <scheme val="minor"/>
      </rPr>
      <t xml:space="preserve"> =</t>
    </r>
    <phoneticPr fontId="1"/>
  </si>
  <si>
    <r>
      <t>まず、ダルシー則により</t>
    </r>
    <r>
      <rPr>
        <i/>
        <sz val="11"/>
        <color theme="1"/>
        <rFont val="ＭＳ Ｐゴシック"/>
        <family val="3"/>
        <charset val="128"/>
        <scheme val="minor"/>
      </rPr>
      <t>K</t>
    </r>
    <r>
      <rPr>
        <vertAlign val="subscript"/>
        <sz val="11"/>
        <color theme="1"/>
        <rFont val="ＭＳ Ｐゴシック"/>
        <family val="3"/>
        <charset val="128"/>
        <scheme val="minor"/>
      </rPr>
      <t>eff</t>
    </r>
    <r>
      <rPr>
        <sz val="11"/>
        <color theme="1"/>
        <rFont val="ＭＳ Ｐゴシック"/>
        <family val="3"/>
        <charset val="128"/>
        <scheme val="minor"/>
      </rPr>
      <t>を求めます</t>
    </r>
    <rPh sb="7" eb="8">
      <t>ソク</t>
    </rPh>
    <rPh sb="16" eb="17">
      <t>モト</t>
    </rPh>
    <phoneticPr fontId="1"/>
  </si>
  <si>
    <t>次に以下の式により粘土の厚さxを求めます。</t>
    <rPh sb="0" eb="1">
      <t>ツギ</t>
    </rPh>
    <rPh sb="2" eb="4">
      <t>イカ</t>
    </rPh>
    <rPh sb="5" eb="6">
      <t>シキ</t>
    </rPh>
    <rPh sb="9" eb="11">
      <t>ネンド</t>
    </rPh>
    <rPh sb="12" eb="13">
      <t>アツ</t>
    </rPh>
    <rPh sb="16" eb="17">
      <t>モト</t>
    </rPh>
    <phoneticPr fontId="1"/>
  </si>
  <si>
    <t>(ⅰ)粘土層が砂層の下端にある場合</t>
    <rPh sb="3" eb="5">
      <t>ネンド</t>
    </rPh>
    <rPh sb="5" eb="6">
      <t>ソウ</t>
    </rPh>
    <rPh sb="7" eb="8">
      <t>スナ</t>
    </rPh>
    <rPh sb="8" eb="9">
      <t>ソウ</t>
    </rPh>
    <rPh sb="10" eb="12">
      <t>カタン</t>
    </rPh>
    <rPh sb="15" eb="17">
      <t>バアイ</t>
    </rPh>
    <phoneticPr fontId="1"/>
  </si>
  <si>
    <t>(ⅱ)粘土層が砂層の上端にある場合</t>
    <rPh sb="3" eb="5">
      <t>ネンド</t>
    </rPh>
    <rPh sb="5" eb="6">
      <t>ソウ</t>
    </rPh>
    <rPh sb="7" eb="8">
      <t>スナ</t>
    </rPh>
    <rPh sb="8" eb="9">
      <t>ソウ</t>
    </rPh>
    <rPh sb="10" eb="12">
      <t>ジョウタン</t>
    </rPh>
    <rPh sb="15" eb="17">
      <t>バアイ</t>
    </rPh>
    <phoneticPr fontId="1"/>
  </si>
  <si>
    <t xml:space="preserve">cm </t>
    <phoneticPr fontId="1"/>
  </si>
  <si>
    <t>砂層(cm)</t>
    <rPh sb="0" eb="1">
      <t>スナ</t>
    </rPh>
    <rPh sb="1" eb="2">
      <t>ソウ</t>
    </rPh>
    <phoneticPr fontId="1"/>
  </si>
  <si>
    <t>粘土層(cm)</t>
    <rPh sb="0" eb="3">
      <t>ネンドソウ</t>
    </rPh>
    <phoneticPr fontId="1"/>
  </si>
  <si>
    <t>Ks(砂)</t>
    <rPh sb="3" eb="4">
      <t>スナ</t>
    </rPh>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</si>
  <si>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3"/>
        <charset val="128"/>
        <scheme val="minor"/>
      </rPr>
      <t xml:space="preserve"> （砂）</t>
    </r>
    <rPh sb="4" eb="5">
      <t>スナ</t>
    </rPh>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</si>
  <si>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3"/>
        <charset val="128"/>
        <scheme val="minor"/>
      </rPr>
      <t xml:space="preserve"> （粘土）</t>
    </r>
    <rPh sb="4" eb="6">
      <t>ネンド</t>
    </rPh>
    <phoneticPr fontId="1"/>
  </si>
  <si>
    <t>Ks(粘土)</t>
    <rPh sb="3" eb="5">
      <t>ネンド</t>
    </rPh>
    <phoneticPr fontId="1"/>
  </si>
  <si>
    <t>(b)と同様に考えます</t>
    <rPh sb="4" eb="6">
      <t>ドウヨウ</t>
    </rPh>
    <rPh sb="7" eb="8">
      <t>カンガ</t>
    </rPh>
    <phoneticPr fontId="1"/>
  </si>
  <si>
    <t>=</t>
    <phoneticPr fontId="1"/>
  </si>
  <si>
    <t>(d)</t>
    <phoneticPr fontId="1"/>
  </si>
  <si>
    <t>粘土層が砂層の下端にある場合、砂層と粘土層の境界の圧力（静水圧）は正なのでカラム内は飽和状態である。</t>
    <rPh sb="0" eb="2">
      <t>ネンド</t>
    </rPh>
    <rPh sb="2" eb="3">
      <t>ソウ</t>
    </rPh>
    <rPh sb="4" eb="5">
      <t>スナ</t>
    </rPh>
    <rPh sb="5" eb="6">
      <t>ソウ</t>
    </rPh>
    <rPh sb="7" eb="9">
      <t>カタン</t>
    </rPh>
    <rPh sb="12" eb="14">
      <t>バアイ</t>
    </rPh>
    <rPh sb="15" eb="16">
      <t>スナ</t>
    </rPh>
    <rPh sb="16" eb="17">
      <t>ソウ</t>
    </rPh>
    <rPh sb="18" eb="20">
      <t>ネンド</t>
    </rPh>
    <rPh sb="20" eb="21">
      <t>ソウ</t>
    </rPh>
    <rPh sb="22" eb="24">
      <t>キョウカイ</t>
    </rPh>
    <rPh sb="25" eb="27">
      <t>アツリョク</t>
    </rPh>
    <rPh sb="28" eb="31">
      <t>セイスイアツ</t>
    </rPh>
    <rPh sb="33" eb="34">
      <t>セイ</t>
    </rPh>
    <rPh sb="40" eb="41">
      <t>ナイ</t>
    </rPh>
    <rPh sb="42" eb="44">
      <t>ホウワ</t>
    </rPh>
    <rPh sb="44" eb="46">
      <t>ジョウタイ</t>
    </rPh>
    <phoneticPr fontId="1"/>
  </si>
  <si>
    <t>粘土層が砂層の上端にある場合、砂層と粘土層の境界の圧力（静水圧）が負なのでカラム内は飽和を保てなくなる。</t>
    <rPh sb="0" eb="2">
      <t>ネンド</t>
    </rPh>
    <rPh sb="2" eb="3">
      <t>ソウ</t>
    </rPh>
    <rPh sb="4" eb="5">
      <t>スナ</t>
    </rPh>
    <rPh sb="5" eb="6">
      <t>ソウ</t>
    </rPh>
    <rPh sb="7" eb="9">
      <t>ジョウタン</t>
    </rPh>
    <rPh sb="12" eb="14">
      <t>バアイ</t>
    </rPh>
    <rPh sb="15" eb="16">
      <t>スナ</t>
    </rPh>
    <rPh sb="16" eb="17">
      <t>ソウ</t>
    </rPh>
    <rPh sb="18" eb="20">
      <t>ネンド</t>
    </rPh>
    <rPh sb="20" eb="21">
      <t>ソウ</t>
    </rPh>
    <rPh sb="22" eb="24">
      <t>キョウカイ</t>
    </rPh>
    <rPh sb="25" eb="27">
      <t>アツリョク</t>
    </rPh>
    <rPh sb="28" eb="31">
      <t>セイスイアツ</t>
    </rPh>
    <rPh sb="33" eb="34">
      <t>フ</t>
    </rPh>
    <rPh sb="40" eb="41">
      <t>ナイ</t>
    </rPh>
    <rPh sb="42" eb="44">
      <t>ホウワ</t>
    </rPh>
    <rPh sb="45" eb="46">
      <t>タモ</t>
    </rPh>
    <phoneticPr fontId="1"/>
  </si>
  <si>
    <t>問題3.7</t>
    <rPh sb="0" eb="2">
      <t>モンダイ</t>
    </rPh>
    <phoneticPr fontId="1"/>
  </si>
  <si>
    <t>q</t>
    <phoneticPr fontId="1"/>
  </si>
  <si>
    <r>
      <rPr>
        <i/>
        <sz val="11"/>
        <color theme="1"/>
        <rFont val="ＭＳ Ｐゴシック"/>
        <family val="3"/>
        <charset val="128"/>
        <scheme val="minor"/>
      </rPr>
      <t>h</t>
    </r>
    <r>
      <rPr>
        <sz val="11"/>
        <color theme="1"/>
        <rFont val="ＭＳ Ｐゴシック"/>
        <family val="2"/>
        <charset val="128"/>
        <scheme val="minor"/>
      </rPr>
      <t>(</t>
    </r>
    <r>
      <rPr>
        <sz val="11"/>
        <color theme="1"/>
        <rFont val="Symbol"/>
        <family val="1"/>
        <charset val="2"/>
      </rPr>
      <t>q</t>
    </r>
    <r>
      <rPr>
        <sz val="11"/>
        <color theme="1"/>
        <rFont val="ＭＳ Ｐゴシック"/>
        <family val="2"/>
        <charset val="128"/>
        <scheme val="minor"/>
      </rPr>
      <t>)　[cm]</t>
    </r>
    <phoneticPr fontId="1"/>
  </si>
  <si>
    <t>本</t>
    <rPh sb="0" eb="1">
      <t>ホン</t>
    </rPh>
    <phoneticPr fontId="1"/>
  </si>
  <si>
    <t>s</t>
    <phoneticPr fontId="1"/>
  </si>
  <si>
    <t>p</t>
    <phoneticPr fontId="1"/>
  </si>
  <si>
    <t>Dq</t>
    <phoneticPr fontId="1"/>
  </si>
  <si>
    <r>
      <t>r</t>
    </r>
    <r>
      <rPr>
        <vertAlign val="subscript"/>
        <sz val="11"/>
        <color theme="1"/>
        <rFont val="Times New Roman"/>
        <family val="1"/>
      </rPr>
      <t>w</t>
    </r>
    <phoneticPr fontId="1"/>
  </si>
  <si>
    <t>0.1-0.2</t>
    <phoneticPr fontId="1"/>
  </si>
  <si>
    <t>0-0.1</t>
    <phoneticPr fontId="1"/>
  </si>
  <si>
    <t>0.2-0.3</t>
    <phoneticPr fontId="1"/>
  </si>
  <si>
    <t>0.3-0.4</t>
    <phoneticPr fontId="1"/>
  </si>
  <si>
    <t>0.4-0.5</t>
    <phoneticPr fontId="1"/>
  </si>
  <si>
    <r>
      <rPr>
        <i/>
        <sz val="11"/>
        <color theme="1"/>
        <rFont val="ＭＳ Ｐゴシック"/>
        <family val="3"/>
        <charset val="128"/>
        <scheme val="minor"/>
      </rPr>
      <t>h</t>
    </r>
    <r>
      <rPr>
        <vertAlign val="subscript"/>
        <sz val="11"/>
        <color theme="1"/>
        <rFont val="ＭＳ Ｐゴシック"/>
        <family val="3"/>
        <charset val="128"/>
        <scheme val="minor"/>
      </rPr>
      <t>J</t>
    </r>
    <r>
      <rPr>
        <sz val="11"/>
        <color theme="1"/>
        <rFont val="ＭＳ Ｐゴシック"/>
        <family val="2"/>
        <charset val="128"/>
        <scheme val="minor"/>
      </rPr>
      <t>(  )</t>
    </r>
    <phoneticPr fontId="1"/>
  </si>
  <si>
    <r>
      <t>R</t>
    </r>
    <r>
      <rPr>
        <vertAlign val="subscript"/>
        <sz val="11"/>
        <color theme="1"/>
        <rFont val="ＭＳ Ｐゴシック"/>
        <family val="3"/>
        <charset val="128"/>
        <scheme val="minor"/>
      </rPr>
      <t>J</t>
    </r>
    <phoneticPr fontId="1"/>
  </si>
  <si>
    <r>
      <t>n</t>
    </r>
    <r>
      <rPr>
        <vertAlign val="subscript"/>
        <sz val="11"/>
        <color theme="1"/>
        <rFont val="ＭＳ Ｐゴシック"/>
        <family val="3"/>
        <charset val="128"/>
        <scheme val="minor"/>
      </rPr>
      <t>J</t>
    </r>
    <phoneticPr fontId="1"/>
  </si>
  <si>
    <t>J</t>
    <phoneticPr fontId="1"/>
  </si>
  <si>
    <r>
      <t>テキストの解答では、各水分領域を代表する</t>
    </r>
    <r>
      <rPr>
        <sz val="11"/>
        <color theme="1"/>
        <rFont val="Symbol"/>
        <family val="1"/>
        <charset val="2"/>
      </rPr>
      <t>q</t>
    </r>
    <r>
      <rPr>
        <sz val="11"/>
        <color theme="1"/>
        <rFont val="ＭＳ Ｐゴシック"/>
        <family val="2"/>
        <charset val="128"/>
        <scheme val="minor"/>
      </rPr>
      <t>を水分領域中最小値</t>
    </r>
    <rPh sb="5" eb="7">
      <t>カイトウ</t>
    </rPh>
    <rPh sb="10" eb="11">
      <t>カク</t>
    </rPh>
    <rPh sb="11" eb="13">
      <t>スイブン</t>
    </rPh>
    <rPh sb="13" eb="15">
      <t>リョウイキ</t>
    </rPh>
    <rPh sb="16" eb="18">
      <t>ダイヒョウ</t>
    </rPh>
    <rPh sb="22" eb="24">
      <t>スイブン</t>
    </rPh>
    <rPh sb="24" eb="26">
      <t>リョウイキ</t>
    </rPh>
    <rPh sb="26" eb="27">
      <t>チュウ</t>
    </rPh>
    <rPh sb="27" eb="29">
      <t>サイショウ</t>
    </rPh>
    <rPh sb="29" eb="30">
      <t>アタイ</t>
    </rPh>
    <phoneticPr fontId="1"/>
  </si>
  <si>
    <t>としているが、ここでは水分領域の平均値を用います。</t>
    <phoneticPr fontId="1"/>
  </si>
  <si>
    <t>なお、テキストの解答例は丸め誤差等により下数桁が曖昧です。</t>
    <rPh sb="8" eb="10">
      <t>カイトウ</t>
    </rPh>
    <rPh sb="10" eb="11">
      <t>レイ</t>
    </rPh>
    <rPh sb="12" eb="13">
      <t>マル</t>
    </rPh>
    <rPh sb="14" eb="16">
      <t>ゴサ</t>
    </rPh>
    <rPh sb="16" eb="17">
      <t>トウ</t>
    </rPh>
    <rPh sb="20" eb="21">
      <t>シタ</t>
    </rPh>
    <rPh sb="21" eb="22">
      <t>スウ</t>
    </rPh>
    <rPh sb="22" eb="23">
      <t>ケタ</t>
    </rPh>
    <rPh sb="24" eb="26">
      <t>アイマイ</t>
    </rPh>
    <phoneticPr fontId="1"/>
  </si>
  <si>
    <t>表面張力</t>
    <rPh sb="0" eb="2">
      <t>ヒョウメン</t>
    </rPh>
    <rPh sb="2" eb="4">
      <t>チョウリョク</t>
    </rPh>
    <phoneticPr fontId="1"/>
  </si>
  <si>
    <t>水の密度</t>
    <rPh sb="0" eb="1">
      <t>ミズ</t>
    </rPh>
    <rPh sb="2" eb="4">
      <t>ミツド</t>
    </rPh>
    <phoneticPr fontId="1"/>
  </si>
  <si>
    <t>重力加速度</t>
    <rPh sb="0" eb="2">
      <t>ジュウリョク</t>
    </rPh>
    <rPh sb="2" eb="5">
      <t>カソクド</t>
    </rPh>
    <phoneticPr fontId="1"/>
  </si>
  <si>
    <t>含水率刻み</t>
    <rPh sb="0" eb="3">
      <t>ガンスイリツ</t>
    </rPh>
    <rPh sb="3" eb="4">
      <t>キザ</t>
    </rPh>
    <phoneticPr fontId="1"/>
  </si>
  <si>
    <t>A</t>
    <phoneticPr fontId="1"/>
  </si>
  <si>
    <t>粘性係数</t>
    <rPh sb="0" eb="2">
      <t>ネンセイ</t>
    </rPh>
    <rPh sb="2" eb="4">
      <t>ケイスウ</t>
    </rPh>
    <phoneticPr fontId="1"/>
  </si>
  <si>
    <t>h</t>
    <phoneticPr fontId="1"/>
  </si>
  <si>
    <t>水頭勾配</t>
    <rPh sb="0" eb="2">
      <t>スイトウ</t>
    </rPh>
    <rPh sb="2" eb="4">
      <t>コウバイ</t>
    </rPh>
    <phoneticPr fontId="1"/>
  </si>
  <si>
    <r>
      <t>D</t>
    </r>
    <r>
      <rPr>
        <i/>
        <sz val="11"/>
        <color theme="1"/>
        <rFont val="ＭＳ Ｐゴシック"/>
        <family val="3"/>
        <charset val="128"/>
        <scheme val="major"/>
      </rPr>
      <t>H</t>
    </r>
    <r>
      <rPr>
        <sz val="11"/>
        <color theme="1"/>
        <rFont val="ＭＳ Ｐゴシック"/>
        <family val="3"/>
        <charset val="128"/>
        <scheme val="major"/>
      </rPr>
      <t>/</t>
    </r>
    <r>
      <rPr>
        <i/>
        <sz val="11"/>
        <color theme="1"/>
        <rFont val="ＭＳ Ｐゴシック"/>
        <family val="3"/>
        <charset val="128"/>
        <scheme val="major"/>
      </rPr>
      <t>L</t>
    </r>
    <r>
      <rPr>
        <vertAlign val="subscript"/>
        <sz val="11"/>
        <color theme="1"/>
        <rFont val="ＭＳ Ｐゴシック"/>
        <family val="3"/>
        <charset val="128"/>
        <scheme val="major"/>
      </rPr>
      <t>c</t>
    </r>
    <phoneticPr fontId="1"/>
  </si>
  <si>
    <t>g</t>
    <phoneticPr fontId="1"/>
  </si>
  <si>
    <t>断面積</t>
    <rPh sb="0" eb="3">
      <t>ダンメンセキ</t>
    </rPh>
    <phoneticPr fontId="1"/>
  </si>
  <si>
    <r>
      <t>cm</t>
    </r>
    <r>
      <rPr>
        <vertAlign val="superscript"/>
        <sz val="11"/>
        <color theme="1"/>
        <rFont val="ＭＳ Ｐゴシック"/>
        <family val="3"/>
        <charset val="128"/>
        <scheme val="minor"/>
      </rPr>
      <t>-2</t>
    </r>
    <phoneticPr fontId="1"/>
  </si>
  <si>
    <r>
      <t>g s</t>
    </r>
    <r>
      <rPr>
        <vertAlign val="superscript"/>
        <sz val="11"/>
        <color theme="1"/>
        <rFont val="ＭＳ Ｐゴシック"/>
        <family val="3"/>
        <charset val="128"/>
        <scheme val="minor"/>
      </rPr>
      <t>-2</t>
    </r>
    <phoneticPr fontId="1"/>
  </si>
  <si>
    <r>
      <t>g cm</t>
    </r>
    <r>
      <rPr>
        <vertAlign val="superscript"/>
        <sz val="11"/>
        <color theme="1"/>
        <rFont val="ＭＳ Ｐゴシック"/>
        <family val="3"/>
        <charset val="128"/>
        <scheme val="minor"/>
      </rPr>
      <t>-1</t>
    </r>
    <r>
      <rPr>
        <sz val="11"/>
        <color theme="1"/>
        <rFont val="ＭＳ Ｐゴシック"/>
        <family val="2"/>
        <charset val="128"/>
        <scheme val="minor"/>
      </rPr>
      <t>s</t>
    </r>
    <r>
      <rPr>
        <vertAlign val="superscript"/>
        <sz val="11"/>
        <color theme="1"/>
        <rFont val="ＭＳ Ｐゴシック"/>
        <family val="3"/>
        <charset val="128"/>
        <scheme val="minor"/>
      </rPr>
      <t>-1</t>
    </r>
    <phoneticPr fontId="1"/>
  </si>
  <si>
    <t xml:space="preserve">(c) </t>
    <phoneticPr fontId="1"/>
  </si>
  <si>
    <t>この問いに用いる各物性値</t>
    <rPh sb="2" eb="3">
      <t>ト</t>
    </rPh>
    <rPh sb="5" eb="6">
      <t>モチ</t>
    </rPh>
    <rPh sb="8" eb="9">
      <t>カク</t>
    </rPh>
    <rPh sb="9" eb="11">
      <t>ブッセイ</t>
    </rPh>
    <rPh sb="11" eb="12">
      <t>チ</t>
    </rPh>
    <phoneticPr fontId="1"/>
  </si>
  <si>
    <t>以下の式に、上の物性値を代入します。</t>
    <rPh sb="0" eb="2">
      <t>イカ</t>
    </rPh>
    <rPh sb="3" eb="4">
      <t>シキ</t>
    </rPh>
    <rPh sb="6" eb="7">
      <t>ウエ</t>
    </rPh>
    <rPh sb="8" eb="10">
      <t>ブッセイ</t>
    </rPh>
    <rPh sb="10" eb="11">
      <t>アタイ</t>
    </rPh>
    <rPh sb="12" eb="14">
      <t>ダイニュウ</t>
    </rPh>
    <phoneticPr fontId="1"/>
  </si>
  <si>
    <r>
      <rPr>
        <i/>
        <sz val="11"/>
        <color theme="1"/>
        <rFont val="ＭＳ Ｐゴシック"/>
        <family val="3"/>
        <charset val="128"/>
        <scheme val="minor"/>
      </rPr>
      <t>n</t>
    </r>
    <r>
      <rPr>
        <sz val="11"/>
        <color theme="1"/>
        <rFont val="ＭＳ Ｐゴシック"/>
        <family val="3"/>
        <charset val="128"/>
        <scheme val="minor"/>
      </rPr>
      <t>J</t>
    </r>
    <r>
      <rPr>
        <i/>
        <sz val="11"/>
        <color theme="1"/>
        <rFont val="ＭＳ Ｐゴシック"/>
        <family val="3"/>
        <charset val="128"/>
        <scheme val="minor"/>
      </rPr>
      <t>R</t>
    </r>
    <r>
      <rPr>
        <vertAlign val="subscript"/>
        <sz val="11"/>
        <color theme="1"/>
        <rFont val="ＭＳ Ｐゴシック"/>
        <family val="3"/>
        <charset val="128"/>
        <scheme val="minor"/>
      </rPr>
      <t>J</t>
    </r>
    <r>
      <rPr>
        <vertAlign val="superscript"/>
        <sz val="11"/>
        <color theme="1"/>
        <rFont val="ＭＳ Ｐゴシック"/>
        <family val="3"/>
        <charset val="128"/>
        <scheme val="minor"/>
      </rPr>
      <t>4</t>
    </r>
    <phoneticPr fontId="1"/>
  </si>
  <si>
    <r>
      <rPr>
        <i/>
        <sz val="11"/>
        <color theme="1"/>
        <rFont val="ＭＳ Ｐゴシック"/>
        <family val="3"/>
        <charset val="128"/>
        <scheme val="minor"/>
      </rPr>
      <t>Q</t>
    </r>
    <r>
      <rPr>
        <vertAlign val="subscript"/>
        <sz val="11"/>
        <color theme="1"/>
        <rFont val="ＭＳ Ｐゴシック"/>
        <family val="3"/>
        <charset val="128"/>
        <scheme val="minor"/>
      </rPr>
      <t>T</t>
    </r>
    <phoneticPr fontId="1"/>
  </si>
  <si>
    <r>
      <rPr>
        <i/>
        <sz val="11"/>
        <color theme="1"/>
        <rFont val="ＭＳ Ｐゴシック"/>
        <family val="3"/>
        <charset val="128"/>
        <scheme val="minor"/>
      </rPr>
      <t>Q</t>
    </r>
    <r>
      <rPr>
        <vertAlign val="subscript"/>
        <sz val="11"/>
        <color theme="1"/>
        <rFont val="ＭＳ Ｐゴシック"/>
        <family val="3"/>
        <charset val="128"/>
        <scheme val="minor"/>
      </rPr>
      <t>J</t>
    </r>
    <phoneticPr fontId="1"/>
  </si>
  <si>
    <r>
      <rPr>
        <i/>
        <sz val="11"/>
        <color theme="1"/>
        <rFont val="ＭＳ Ｐゴシック"/>
        <family val="3"/>
        <charset val="128"/>
        <scheme val="minor"/>
      </rPr>
      <t>f</t>
    </r>
    <r>
      <rPr>
        <vertAlign val="subscript"/>
        <sz val="11"/>
        <color theme="1"/>
        <rFont val="ＭＳ Ｐゴシック"/>
        <family val="3"/>
        <charset val="128"/>
        <scheme val="minor"/>
      </rPr>
      <t>k</t>
    </r>
    <phoneticPr fontId="1"/>
  </si>
  <si>
    <r>
      <t>cm</t>
    </r>
    <r>
      <rPr>
        <vertAlign val="superscript"/>
        <sz val="11"/>
        <color theme="1"/>
        <rFont val="ＭＳ Ｐゴシック"/>
        <family val="3"/>
        <charset val="128"/>
        <scheme val="minor"/>
      </rPr>
      <t>3</t>
    </r>
    <r>
      <rPr>
        <sz val="11"/>
        <color theme="1"/>
        <rFont val="ＭＳ Ｐゴシック"/>
        <family val="2"/>
        <charset val="128"/>
        <scheme val="minor"/>
      </rPr>
      <t>s</t>
    </r>
    <r>
      <rPr>
        <vertAlign val="superscript"/>
        <sz val="11"/>
        <color theme="1"/>
        <rFont val="ＭＳ Ｐゴシック"/>
        <family val="3"/>
        <charset val="128"/>
        <scheme val="minor"/>
      </rPr>
      <t>-1</t>
    </r>
    <phoneticPr fontId="1"/>
  </si>
  <si>
    <r>
      <t>式から分かるように、</t>
    </r>
    <r>
      <rPr>
        <i/>
        <sz val="11"/>
        <color theme="1"/>
        <rFont val="ＭＳ Ｐゴシック"/>
        <family val="3"/>
        <charset val="128"/>
        <scheme val="minor"/>
      </rPr>
      <t>R</t>
    </r>
    <r>
      <rPr>
        <sz val="11"/>
        <color theme="1"/>
        <rFont val="ＭＳ Ｐゴシック"/>
        <family val="2"/>
        <charset val="128"/>
        <scheme val="minor"/>
      </rPr>
      <t>は</t>
    </r>
    <r>
      <rPr>
        <i/>
        <sz val="11"/>
        <color theme="1"/>
        <rFont val="ＭＳ Ｐゴシック"/>
        <family val="3"/>
        <charset val="128"/>
        <scheme val="minor"/>
      </rPr>
      <t>h</t>
    </r>
    <r>
      <rPr>
        <sz val="11"/>
        <color theme="1"/>
        <rFont val="ＭＳ Ｐゴシック"/>
        <family val="2"/>
        <charset val="128"/>
        <scheme val="minor"/>
      </rPr>
      <t>に反比例、</t>
    </r>
    <r>
      <rPr>
        <i/>
        <sz val="11"/>
        <color theme="1"/>
        <rFont val="ＭＳ Ｐゴシック"/>
        <family val="3"/>
        <charset val="128"/>
        <scheme val="minor"/>
      </rPr>
      <t/>
    </r>
    <rPh sb="0" eb="1">
      <t>シキ</t>
    </rPh>
    <rPh sb="3" eb="4">
      <t>ワ</t>
    </rPh>
    <rPh sb="14" eb="17">
      <t>ハンピレイ</t>
    </rPh>
    <phoneticPr fontId="1"/>
  </si>
  <si>
    <t>nはhの放物線となります。</t>
  </si>
  <si>
    <r>
      <t>径が大くなるほど毛管の本数は減少するが、流量は</t>
    </r>
    <r>
      <rPr>
        <i/>
        <sz val="11"/>
        <color theme="1"/>
        <rFont val="ＭＳ Ｐゴシック"/>
        <family val="3"/>
        <charset val="128"/>
        <scheme val="minor"/>
      </rPr>
      <t>R</t>
    </r>
    <r>
      <rPr>
        <vertAlign val="subscript"/>
        <sz val="11"/>
        <color theme="1"/>
        <rFont val="ＭＳ Ｐゴシック"/>
        <family val="3"/>
        <charset val="128"/>
        <scheme val="minor"/>
      </rPr>
      <t>2</t>
    </r>
    <r>
      <rPr>
        <sz val="11"/>
        <color theme="1"/>
        <rFont val="ＭＳ Ｐゴシック"/>
        <family val="2"/>
        <charset val="128"/>
        <scheme val="minor"/>
      </rPr>
      <t>に比例して増加するため、全体に占める割合も大きくなる。</t>
    </r>
    <rPh sb="0" eb="1">
      <t>ケイ</t>
    </rPh>
    <rPh sb="2" eb="3">
      <t>オオ</t>
    </rPh>
    <rPh sb="8" eb="10">
      <t>モウカン</t>
    </rPh>
    <rPh sb="11" eb="13">
      <t>ホンスウ</t>
    </rPh>
    <rPh sb="14" eb="16">
      <t>ゲンショウ</t>
    </rPh>
    <rPh sb="20" eb="22">
      <t>リュウリョウ</t>
    </rPh>
    <rPh sb="26" eb="28">
      <t>ヒレイ</t>
    </rPh>
    <rPh sb="30" eb="32">
      <t>ゾウカ</t>
    </rPh>
    <rPh sb="37" eb="39">
      <t>ゼンタイ</t>
    </rPh>
    <rPh sb="40" eb="41">
      <t>シ</t>
    </rPh>
    <rPh sb="43" eb="45">
      <t>ワリアイ</t>
    </rPh>
    <rPh sb="46" eb="47">
      <t>オオ</t>
    </rPh>
    <phoneticPr fontId="1"/>
  </si>
  <si>
    <t>問題3.8</t>
    <rPh sb="0" eb="2">
      <t>モンダイ</t>
    </rPh>
    <phoneticPr fontId="1"/>
  </si>
  <si>
    <r>
      <rPr>
        <sz val="11"/>
        <color theme="1"/>
        <rFont val="ＭＳ Ｐ明朝"/>
        <family val="1"/>
        <charset val="128"/>
      </rPr>
      <t>したがって，水平な流れに対する垂直な流れの比は，</t>
    </r>
    <rPh sb="6" eb="8">
      <t>スイヘイ</t>
    </rPh>
    <rPh sb="9" eb="10">
      <t>ナガ</t>
    </rPh>
    <rPh sb="12" eb="13">
      <t>タイ</t>
    </rPh>
    <rPh sb="15" eb="17">
      <t>スイチョク</t>
    </rPh>
    <rPh sb="18" eb="19">
      <t>ナガ</t>
    </rPh>
    <rPh sb="21" eb="22">
      <t>ヒ</t>
    </rPh>
    <phoneticPr fontId="1"/>
  </si>
  <si>
    <r>
      <t>E</t>
    </r>
    <r>
      <rPr>
        <vertAlign val="subscript"/>
        <sz val="11"/>
        <color theme="1"/>
        <rFont val="Times New Roman"/>
        <family val="1"/>
      </rPr>
      <t>ver</t>
    </r>
    <r>
      <rPr>
        <sz val="11"/>
        <color theme="1"/>
        <rFont val="Times New Roman"/>
        <family val="1"/>
      </rPr>
      <t xml:space="preserve"> / E</t>
    </r>
    <r>
      <rPr>
        <vertAlign val="subscript"/>
        <sz val="11"/>
        <color theme="1"/>
        <rFont val="Times New Roman"/>
        <family val="1"/>
      </rPr>
      <t>hor</t>
    </r>
    <r>
      <rPr>
        <sz val="11"/>
        <color theme="1"/>
        <rFont val="Times New Roman"/>
        <family val="1"/>
      </rPr>
      <t xml:space="preserve"> </t>
    </r>
    <r>
      <rPr>
        <sz val="11"/>
        <color theme="1"/>
        <rFont val="ＭＳ Ｐ明朝"/>
        <family val="1"/>
        <charset val="128"/>
      </rPr>
      <t>は，</t>
    </r>
    <r>
      <rPr>
        <sz val="11"/>
        <color theme="1"/>
        <rFont val="Times New Roman"/>
        <family val="1"/>
      </rPr>
      <t xml:space="preserve">L </t>
    </r>
    <r>
      <rPr>
        <sz val="11"/>
        <color theme="1"/>
        <rFont val="ＭＳ Ｐ明朝"/>
        <family val="1"/>
        <charset val="128"/>
      </rPr>
      <t>が大きくなると</t>
    </r>
    <r>
      <rPr>
        <sz val="11"/>
        <color theme="1"/>
        <rFont val="Times New Roman"/>
        <family val="1"/>
      </rPr>
      <t xml:space="preserve"> 0 </t>
    </r>
    <r>
      <rPr>
        <sz val="11"/>
        <color theme="1"/>
        <rFont val="ＭＳ Ｐ明朝"/>
        <family val="1"/>
        <charset val="128"/>
      </rPr>
      <t>に近づく．これは物理的に妥当である．</t>
    </r>
    <r>
      <rPr>
        <sz val="11"/>
        <color theme="1"/>
        <rFont val="Times New Roman"/>
        <family val="1"/>
      </rPr>
      <t xml:space="preserve">L </t>
    </r>
    <r>
      <rPr>
        <sz val="11"/>
        <color theme="1"/>
        <rFont val="ＭＳ Ｐ明朝"/>
        <family val="1"/>
        <charset val="128"/>
      </rPr>
      <t>が小さくなると，</t>
    </r>
    <r>
      <rPr>
        <sz val="11"/>
        <color theme="1"/>
        <rFont val="Times New Roman"/>
        <family val="1"/>
      </rPr>
      <t>E</t>
    </r>
    <r>
      <rPr>
        <vertAlign val="subscript"/>
        <sz val="11"/>
        <color theme="1"/>
        <rFont val="Times New Roman"/>
        <family val="1"/>
      </rPr>
      <t>ver</t>
    </r>
    <r>
      <rPr>
        <sz val="11"/>
        <color theme="1"/>
        <rFont val="Times New Roman"/>
        <family val="1"/>
      </rPr>
      <t xml:space="preserve"> / E</t>
    </r>
    <r>
      <rPr>
        <vertAlign val="subscript"/>
        <sz val="11"/>
        <color theme="1"/>
        <rFont val="Times New Roman"/>
        <family val="1"/>
      </rPr>
      <t>hor</t>
    </r>
    <r>
      <rPr>
        <sz val="11"/>
        <color theme="1"/>
        <rFont val="Times New Roman"/>
        <family val="1"/>
      </rPr>
      <t xml:space="preserve"> </t>
    </r>
    <r>
      <rPr>
        <sz val="11"/>
        <color theme="1"/>
        <rFont val="ＭＳ Ｐ明朝"/>
        <family val="1"/>
        <charset val="128"/>
      </rPr>
      <t>が無限大になるという矛盾は，垂直流れの導出に際し，</t>
    </r>
    <r>
      <rPr>
        <sz val="11"/>
        <color theme="1"/>
        <rFont val="Times New Roman"/>
        <family val="1"/>
      </rPr>
      <t>E / K</t>
    </r>
    <r>
      <rPr>
        <vertAlign val="subscript"/>
        <sz val="11"/>
        <color theme="1"/>
        <rFont val="Times New Roman"/>
        <family val="1"/>
      </rPr>
      <t>s</t>
    </r>
    <r>
      <rPr>
        <sz val="11"/>
        <color theme="1"/>
        <rFont val="Times New Roman"/>
        <family val="1"/>
      </rPr>
      <t xml:space="preserve"> </t>
    </r>
    <r>
      <rPr>
        <sz val="11"/>
        <color theme="1"/>
        <rFont val="ＭＳ Ｐ明朝"/>
        <family val="1"/>
        <charset val="128"/>
      </rPr>
      <t>≪</t>
    </r>
    <r>
      <rPr>
        <sz val="11"/>
        <color theme="1"/>
        <rFont val="Times New Roman"/>
        <family val="1"/>
      </rPr>
      <t xml:space="preserve"> 1 </t>
    </r>
    <r>
      <rPr>
        <sz val="11"/>
        <color theme="1"/>
        <rFont val="ＭＳ Ｐ明朝"/>
        <family val="1"/>
        <charset val="128"/>
      </rPr>
      <t>と近似したためである．厳密解を計算すると，真の垂直方向の蒸発速度は次式で与えられる．</t>
    </r>
    <rPh sb="17" eb="18">
      <t>オオ</t>
    </rPh>
    <rPh sb="27" eb="28">
      <t>チカ</t>
    </rPh>
    <rPh sb="34" eb="37">
      <t>ブツリテキ</t>
    </rPh>
    <rPh sb="38" eb="40">
      <t>ダトウ</t>
    </rPh>
    <rPh sb="47" eb="48">
      <t>チイ</t>
    </rPh>
    <rPh sb="67" eb="70">
      <t>ムゲンダイ</t>
    </rPh>
    <rPh sb="76" eb="78">
      <t>ムジュン</t>
    </rPh>
    <rPh sb="80" eb="82">
      <t>スイチョク</t>
    </rPh>
    <rPh sb="82" eb="83">
      <t>ナガ</t>
    </rPh>
    <rPh sb="85" eb="87">
      <t>ドウシュツ</t>
    </rPh>
    <rPh sb="88" eb="89">
      <t>サイ</t>
    </rPh>
    <rPh sb="103" eb="105">
      <t>キンジ</t>
    </rPh>
    <rPh sb="113" eb="115">
      <t>ゲンミツ</t>
    </rPh>
    <rPh sb="115" eb="116">
      <t>カイ</t>
    </rPh>
    <rPh sb="117" eb="119">
      <t>ケイサン</t>
    </rPh>
    <rPh sb="123" eb="124">
      <t>シン</t>
    </rPh>
    <rPh sb="125" eb="127">
      <t>スイチョク</t>
    </rPh>
    <rPh sb="127" eb="129">
      <t>ホウコウ</t>
    </rPh>
    <rPh sb="130" eb="132">
      <t>ジョウハツ</t>
    </rPh>
    <rPh sb="132" eb="134">
      <t>ソクド</t>
    </rPh>
    <rPh sb="135" eb="137">
      <t>ジシキ</t>
    </rPh>
    <rPh sb="138" eb="139">
      <t>アタ</t>
    </rPh>
    <phoneticPr fontId="1"/>
  </si>
  <si>
    <r>
      <rPr>
        <sz val="11"/>
        <color theme="1"/>
        <rFont val="ＭＳ Ｐ明朝"/>
        <family val="1"/>
        <charset val="128"/>
      </rPr>
      <t>上式を用いれば，</t>
    </r>
    <r>
      <rPr>
        <sz val="11"/>
        <color theme="1"/>
        <rFont val="Times New Roman"/>
        <family val="1"/>
      </rPr>
      <t>E</t>
    </r>
    <r>
      <rPr>
        <vertAlign val="subscript"/>
        <sz val="11"/>
        <color theme="1"/>
        <rFont val="Times New Roman"/>
        <family val="1"/>
      </rPr>
      <t>ver</t>
    </r>
    <r>
      <rPr>
        <sz val="11"/>
        <color theme="1"/>
        <rFont val="Times New Roman"/>
        <family val="1"/>
      </rPr>
      <t xml:space="preserve"> / E</t>
    </r>
    <r>
      <rPr>
        <vertAlign val="subscript"/>
        <sz val="11"/>
        <color theme="1"/>
        <rFont val="Times New Roman"/>
        <family val="1"/>
      </rPr>
      <t>hor</t>
    </r>
    <r>
      <rPr>
        <sz val="11"/>
        <color theme="1"/>
        <rFont val="Times New Roman"/>
        <family val="1"/>
      </rPr>
      <t xml:space="preserve"> </t>
    </r>
    <r>
      <rPr>
        <sz val="11"/>
        <color theme="1"/>
        <rFont val="ＭＳ Ｐ明朝"/>
        <family val="1"/>
        <charset val="128"/>
      </rPr>
      <t>は常に</t>
    </r>
    <r>
      <rPr>
        <sz val="11"/>
        <color theme="1"/>
        <rFont val="Times New Roman"/>
        <family val="1"/>
      </rPr>
      <t xml:space="preserve"> 1 </t>
    </r>
    <r>
      <rPr>
        <sz val="11"/>
        <color theme="1"/>
        <rFont val="ＭＳ Ｐ明朝"/>
        <family val="1"/>
        <charset val="128"/>
      </rPr>
      <t>より小さくなる．</t>
    </r>
    <rPh sb="0" eb="1">
      <t>ジョウ</t>
    </rPh>
    <rPh sb="1" eb="2">
      <t>シキ</t>
    </rPh>
    <rPh sb="3" eb="4">
      <t>モチ</t>
    </rPh>
    <rPh sb="21" eb="22">
      <t>ツネ</t>
    </rPh>
    <rPh sb="28" eb="29">
      <t>チイ</t>
    </rPh>
    <phoneticPr fontId="1"/>
  </si>
  <si>
    <t>＊厳密解</t>
    <rPh sb="1" eb="3">
      <t>ゲンミツ</t>
    </rPh>
    <rPh sb="3" eb="4">
      <t>カイ</t>
    </rPh>
    <phoneticPr fontId="1"/>
  </si>
  <si>
    <t>(a)</t>
    <phoneticPr fontId="1"/>
  </si>
  <si>
    <t>鉛直方向についても同様に蒸発速度を求めます。</t>
    <rPh sb="0" eb="2">
      <t>エンチョク</t>
    </rPh>
    <rPh sb="2" eb="4">
      <t>ホウコウ</t>
    </rPh>
    <rPh sb="9" eb="11">
      <t>ドウヨウ</t>
    </rPh>
    <rPh sb="12" eb="14">
      <t>ジョウハツ</t>
    </rPh>
    <rPh sb="14" eb="16">
      <t>ソクド</t>
    </rPh>
    <rPh sb="17" eb="18">
      <t>モト</t>
    </rPh>
    <phoneticPr fontId="1"/>
  </si>
  <si>
    <t>まとめると、</t>
    <phoneticPr fontId="1"/>
  </si>
  <si>
    <t>＊補足</t>
    <rPh sb="1" eb="3">
      <t>ホソク</t>
    </rPh>
    <phoneticPr fontId="1"/>
  </si>
  <si>
    <r>
      <t>tan</t>
    </r>
    <r>
      <rPr>
        <vertAlign val="superscript"/>
        <sz val="11"/>
        <color theme="1"/>
        <rFont val="ＭＳ Ｐゴシック"/>
        <family val="3"/>
        <charset val="128"/>
        <scheme val="minor"/>
      </rPr>
      <t>-1</t>
    </r>
    <r>
      <rPr>
        <sz val="11"/>
        <color theme="1"/>
        <rFont val="ＭＳ Ｐゴシック"/>
        <family val="2"/>
        <charset val="128"/>
        <scheme val="minor"/>
      </rPr>
      <t>∞</t>
    </r>
    <r>
      <rPr>
        <sz val="11"/>
        <color theme="1"/>
        <rFont val="ＭＳ Ｐゴシック"/>
        <family val="3"/>
        <charset val="128"/>
        <scheme val="minor"/>
      </rPr>
      <t xml:space="preserve"> って本当に π / 2 なの？ という疑問．</t>
    </r>
    <rPh sb="9" eb="11">
      <t>ホントウ</t>
    </rPh>
    <rPh sb="26" eb="28">
      <t>ギモン</t>
    </rPh>
    <phoneticPr fontId="1"/>
  </si>
  <si>
    <t>y</t>
    <phoneticPr fontId="1"/>
  </si>
  <si>
    <r>
      <t>tan</t>
    </r>
    <r>
      <rPr>
        <vertAlign val="superscript"/>
        <sz val="11"/>
        <color theme="1"/>
        <rFont val="ＭＳ Ｐゴシック"/>
        <family val="3"/>
        <charset val="128"/>
        <scheme val="minor"/>
      </rPr>
      <t>-1</t>
    </r>
    <r>
      <rPr>
        <sz val="11"/>
        <color theme="1"/>
        <rFont val="ＭＳ Ｐゴシック"/>
        <family val="2"/>
        <charset val="128"/>
        <scheme val="minor"/>
      </rPr>
      <t>y</t>
    </r>
    <phoneticPr fontId="1"/>
  </si>
  <si>
    <t>関数を用いて，</t>
    <rPh sb="0" eb="2">
      <t>カンスウ</t>
    </rPh>
    <rPh sb="3" eb="4">
      <t>モチ</t>
    </rPh>
    <phoneticPr fontId="1"/>
  </si>
  <si>
    <t>PI()/2 =</t>
    <phoneticPr fontId="1"/>
  </si>
  <si>
    <r>
      <rPr>
        <sz val="11"/>
        <color theme="1"/>
        <rFont val="ＭＳ Ｐ明朝"/>
        <family val="1"/>
        <charset val="128"/>
      </rPr>
      <t>＊水分フラックス－</t>
    </r>
    <r>
      <rPr>
        <sz val="11"/>
        <color theme="1"/>
        <rFont val="Times New Roman"/>
        <family val="1"/>
      </rPr>
      <t xml:space="preserve">z </t>
    </r>
    <r>
      <rPr>
        <sz val="11"/>
        <color theme="1"/>
        <rFont val="ＭＳ Ｐ明朝"/>
        <family val="1"/>
        <charset val="128"/>
      </rPr>
      <t>の関数＊</t>
    </r>
    <rPh sb="1" eb="3">
      <t>スイブン</t>
    </rPh>
    <rPh sb="12" eb="14">
      <t>カンスウ</t>
    </rPh>
    <phoneticPr fontId="1"/>
  </si>
  <si>
    <r>
      <rPr>
        <sz val="11"/>
        <color theme="1"/>
        <rFont val="ＭＳ Ｐ明朝"/>
        <family val="1"/>
        <charset val="128"/>
      </rPr>
      <t>＊</t>
    </r>
    <r>
      <rPr>
        <sz val="11"/>
        <color theme="1"/>
        <rFont val="Times New Roman"/>
        <family val="1"/>
      </rPr>
      <t xml:space="preserve">a </t>
    </r>
    <r>
      <rPr>
        <sz val="11"/>
        <color theme="1"/>
        <rFont val="ＭＳ Ｐ明朝"/>
        <family val="1"/>
        <charset val="128"/>
      </rPr>
      <t>‐</t>
    </r>
    <r>
      <rPr>
        <sz val="11"/>
        <color theme="1"/>
        <rFont val="Times New Roman"/>
        <family val="1"/>
      </rPr>
      <t xml:space="preserve">ET </t>
    </r>
    <r>
      <rPr>
        <sz val="11"/>
        <color theme="1"/>
        <rFont val="ＭＳ Ｐ明朝"/>
        <family val="1"/>
        <charset val="128"/>
      </rPr>
      <t>の関係＊</t>
    </r>
    <rPh sb="8" eb="10">
      <t>カンケイ</t>
    </rPh>
    <phoneticPr fontId="1"/>
  </si>
  <si>
    <r>
      <t>cm day</t>
    </r>
    <r>
      <rPr>
        <vertAlign val="superscript"/>
        <sz val="11"/>
        <color theme="1"/>
        <rFont val="Times New Roman"/>
        <family val="1"/>
      </rPr>
      <t>-1</t>
    </r>
    <phoneticPr fontId="1"/>
  </si>
  <si>
    <t>a</t>
    <phoneticPr fontId="1"/>
  </si>
  <si>
    <r>
      <t>cm</t>
    </r>
    <r>
      <rPr>
        <vertAlign val="superscript"/>
        <sz val="11"/>
        <color theme="1"/>
        <rFont val="Times New Roman"/>
        <family val="1"/>
      </rPr>
      <t>-2</t>
    </r>
    <r>
      <rPr>
        <sz val="11"/>
        <color theme="1"/>
        <rFont val="Times New Roman"/>
        <family val="1"/>
      </rPr>
      <t xml:space="preserve"> day</t>
    </r>
    <r>
      <rPr>
        <vertAlign val="superscript"/>
        <sz val="11"/>
        <color theme="1"/>
        <rFont val="Times New Roman"/>
        <family val="1"/>
      </rPr>
      <t>-1</t>
    </r>
    <phoneticPr fontId="1"/>
  </si>
  <si>
    <t>L</t>
    <phoneticPr fontId="1"/>
  </si>
  <si>
    <t>ET</t>
    <phoneticPr fontId="1"/>
  </si>
  <si>
    <r>
      <rPr>
        <sz val="11"/>
        <color theme="1"/>
        <rFont val="ＭＳ Ｐ明朝"/>
        <family val="1"/>
        <charset val="128"/>
      </rPr>
      <t>吸水速度一定</t>
    </r>
    <r>
      <rPr>
        <sz val="11"/>
        <color theme="1"/>
        <rFont val="Times New Roman"/>
        <family val="1"/>
      </rPr>
      <t xml:space="preserve"> </t>
    </r>
  </si>
  <si>
    <r>
      <t>J</t>
    </r>
    <r>
      <rPr>
        <vertAlign val="subscript"/>
        <sz val="11"/>
        <color theme="1"/>
        <rFont val="Times New Roman"/>
        <family val="1"/>
      </rPr>
      <t>w</t>
    </r>
    <phoneticPr fontId="1"/>
  </si>
  <si>
    <r>
      <t>day</t>
    </r>
    <r>
      <rPr>
        <vertAlign val="superscript"/>
        <sz val="11"/>
        <color theme="1"/>
        <rFont val="Times New Roman"/>
        <family val="1"/>
      </rPr>
      <t>-1</t>
    </r>
    <phoneticPr fontId="1"/>
  </si>
  <si>
    <t>問題3.9</t>
    <rPh sb="0" eb="2">
      <t>モンダイ</t>
    </rPh>
    <phoneticPr fontId="1"/>
  </si>
  <si>
    <t>（釘崎）</t>
    <rPh sb="1" eb="3">
      <t>クギサキ</t>
    </rPh>
    <phoneticPr fontId="1"/>
  </si>
  <si>
    <r>
      <rPr>
        <i/>
        <sz val="11"/>
        <color theme="1"/>
        <rFont val="Times New Roman"/>
        <family val="1"/>
      </rPr>
      <t>i</t>
    </r>
    <r>
      <rPr>
        <vertAlign val="subscript"/>
        <sz val="11"/>
        <color theme="1"/>
        <rFont val="Times New Roman"/>
        <family val="1"/>
      </rPr>
      <t>0</t>
    </r>
    <phoneticPr fontId="1"/>
  </si>
  <si>
    <r>
      <t xml:space="preserve"> ET &lt; </t>
    </r>
    <r>
      <rPr>
        <i/>
        <sz val="11"/>
        <color theme="1"/>
        <rFont val="Times New Roman"/>
        <family val="1"/>
      </rPr>
      <t>i</t>
    </r>
    <r>
      <rPr>
        <vertAlign val="subscript"/>
        <sz val="11"/>
        <color theme="1"/>
        <rFont val="Times New Roman"/>
        <family val="1"/>
      </rPr>
      <t>0</t>
    </r>
    <r>
      <rPr>
        <sz val="11"/>
        <color theme="1"/>
        <rFont val="Times New Roman"/>
        <family val="1"/>
      </rPr>
      <t xml:space="preserve"> </t>
    </r>
    <phoneticPr fontId="1"/>
  </si>
  <si>
    <r>
      <t>θ</t>
    </r>
    <r>
      <rPr>
        <vertAlign val="subscript"/>
        <sz val="11"/>
        <color theme="1"/>
        <rFont val="Times New Roman"/>
        <family val="1"/>
      </rPr>
      <t>s</t>
    </r>
    <phoneticPr fontId="1"/>
  </si>
  <si>
    <r>
      <t>K</t>
    </r>
    <r>
      <rPr>
        <vertAlign val="subscript"/>
        <sz val="11"/>
        <color theme="1"/>
        <rFont val="Times New Roman"/>
        <family val="1"/>
      </rPr>
      <t>s</t>
    </r>
    <phoneticPr fontId="1"/>
  </si>
  <si>
    <t>β</t>
    <phoneticPr fontId="1"/>
  </si>
  <si>
    <t>t [day]</t>
    <phoneticPr fontId="1"/>
  </si>
  <si>
    <t>問題3.10</t>
    <rPh sb="0" eb="2">
      <t>モンダイ</t>
    </rPh>
    <phoneticPr fontId="1"/>
  </si>
  <si>
    <t>まず、与えられた不飽和透水係数関数を図示してみる。</t>
    <rPh sb="3" eb="4">
      <t>アタ</t>
    </rPh>
    <rPh sb="8" eb="11">
      <t>フホウワ</t>
    </rPh>
    <rPh sb="11" eb="13">
      <t>トウスイ</t>
    </rPh>
    <rPh sb="13" eb="15">
      <t>ケイスウ</t>
    </rPh>
    <rPh sb="15" eb="17">
      <t>カンスウ</t>
    </rPh>
    <rPh sb="18" eb="20">
      <t>ズシ</t>
    </rPh>
    <phoneticPr fontId="1"/>
  </si>
  <si>
    <t>K [cm/d]</t>
    <phoneticPr fontId="1"/>
  </si>
  <si>
    <r>
      <rPr>
        <sz val="11"/>
        <color theme="1"/>
        <rFont val="ＭＳ Ｐ明朝"/>
        <family val="1"/>
        <charset val="128"/>
      </rPr>
      <t>この含水率</t>
    </r>
    <r>
      <rPr>
        <sz val="11"/>
        <color theme="1"/>
        <rFont val="Symbol"/>
        <family val="1"/>
        <charset val="2"/>
      </rPr>
      <t>q</t>
    </r>
    <r>
      <rPr>
        <sz val="11"/>
        <color theme="1"/>
        <rFont val="ＭＳ Ｐ明朝"/>
        <family val="1"/>
        <charset val="128"/>
      </rPr>
      <t>は土全体の平均含水率であり、経過日数との関係は右図のようになる。</t>
    </r>
    <rPh sb="2" eb="5">
      <t>ガンスイリツ</t>
    </rPh>
    <rPh sb="7" eb="8">
      <t>ツチ</t>
    </rPh>
    <rPh sb="8" eb="10">
      <t>ゼンタイ</t>
    </rPh>
    <rPh sb="11" eb="13">
      <t>ヘイキン</t>
    </rPh>
    <rPh sb="13" eb="16">
      <t>ガンスイリツ</t>
    </rPh>
    <rPh sb="20" eb="22">
      <t>ケイカ</t>
    </rPh>
    <rPh sb="22" eb="24">
      <t>ニッスウ</t>
    </rPh>
    <rPh sb="26" eb="28">
      <t>カンケイ</t>
    </rPh>
    <rPh sb="29" eb="30">
      <t>ミギ</t>
    </rPh>
    <rPh sb="30" eb="31">
      <t>ズ</t>
    </rPh>
    <phoneticPr fontId="1"/>
  </si>
  <si>
    <r>
      <rPr>
        <i/>
        <sz val="11"/>
        <color theme="1"/>
        <rFont val="ＭＳ Ｐ明朝"/>
        <family val="1"/>
        <charset val="128"/>
      </rPr>
      <t>　　　　　</t>
    </r>
    <r>
      <rPr>
        <i/>
        <sz val="11"/>
        <color theme="1"/>
        <rFont val="Times New Roman"/>
        <family val="1"/>
      </rPr>
      <t>t</t>
    </r>
    <r>
      <rPr>
        <sz val="11"/>
        <color theme="1"/>
        <rFont val="Times New Roman"/>
        <family val="1"/>
      </rPr>
      <t xml:space="preserve"> </t>
    </r>
    <r>
      <rPr>
        <sz val="11"/>
        <color theme="1"/>
        <rFont val="ＭＳ Ｐ明朝"/>
        <family val="1"/>
        <charset val="128"/>
      </rPr>
      <t>→</t>
    </r>
    <r>
      <rPr>
        <sz val="11"/>
        <color theme="1"/>
        <rFont val="Times New Roman"/>
        <family val="1"/>
      </rPr>
      <t xml:space="preserve"> </t>
    </r>
    <r>
      <rPr>
        <sz val="11"/>
        <color theme="1"/>
        <rFont val="ＭＳ Ｐ明朝"/>
        <family val="1"/>
        <charset val="128"/>
      </rPr>
      <t>∞を仮に</t>
    </r>
    <rPh sb="11" eb="12">
      <t>カリ</t>
    </rPh>
    <phoneticPr fontId="1"/>
  </si>
  <si>
    <t>となる。</t>
    <phoneticPr fontId="1"/>
  </si>
  <si>
    <r>
      <rPr>
        <sz val="11"/>
        <color theme="1"/>
        <rFont val="Symbol"/>
        <family val="1"/>
        <charset val="2"/>
      </rPr>
      <t xml:space="preserve"> </t>
    </r>
    <r>
      <rPr>
        <sz val="11"/>
        <color theme="1"/>
        <rFont val="ＭＳ Ｐ明朝"/>
        <family val="1"/>
        <charset val="128"/>
      </rPr>
      <t>　　　　図からもわかるように、排水時間が長くなると</t>
    </r>
    <r>
      <rPr>
        <sz val="11"/>
        <color theme="1"/>
        <rFont val="Symbol"/>
        <family val="1"/>
        <charset val="2"/>
      </rPr>
      <t>q</t>
    </r>
    <r>
      <rPr>
        <sz val="11"/>
        <color theme="1"/>
        <rFont val="ＭＳ Ｐ明朝"/>
        <family val="1"/>
        <charset val="128"/>
      </rPr>
      <t>が負と、非現実的な結果になる。</t>
    </r>
    <rPh sb="5" eb="6">
      <t>ズ</t>
    </rPh>
    <rPh sb="16" eb="18">
      <t>ハイスイ</t>
    </rPh>
    <rPh sb="18" eb="20">
      <t>ジカン</t>
    </rPh>
    <rPh sb="21" eb="22">
      <t>ナガ</t>
    </rPh>
    <rPh sb="28" eb="29">
      <t>フ</t>
    </rPh>
    <rPh sb="31" eb="35">
      <t>ヒゲンジツテキ</t>
    </rPh>
    <rPh sb="36" eb="38">
      <t>ケッカ</t>
    </rPh>
    <phoneticPr fontId="1"/>
  </si>
  <si>
    <r>
      <rPr>
        <sz val="11"/>
        <color theme="1"/>
        <rFont val="ＭＳ Ｐ明朝"/>
        <family val="1"/>
        <charset val="128"/>
      </rPr>
      <t>年とすれば、含水率</t>
    </r>
    <r>
      <rPr>
        <sz val="11"/>
        <color theme="1"/>
        <rFont val="Symbol"/>
        <family val="1"/>
        <charset val="2"/>
      </rPr>
      <t>q</t>
    </r>
    <r>
      <rPr>
        <sz val="11"/>
        <color theme="1"/>
        <rFont val="ＭＳ Ｐ明朝"/>
        <family val="1"/>
        <charset val="128"/>
      </rPr>
      <t>は</t>
    </r>
    <rPh sb="6" eb="9">
      <t>ガンスイリツ</t>
    </rPh>
    <phoneticPr fontId="1"/>
  </si>
  <si>
    <r>
      <rPr>
        <sz val="11"/>
        <color theme="1"/>
        <rFont val="ＭＳ Ｐ明朝"/>
        <family val="1"/>
        <charset val="128"/>
      </rPr>
      <t>　　　　　あるいは、上式を変形し、極限をとれば</t>
    </r>
    <r>
      <rPr>
        <sz val="11"/>
        <color theme="1"/>
        <rFont val="Symbol"/>
        <family val="1"/>
        <charset val="2"/>
      </rPr>
      <t>q</t>
    </r>
    <r>
      <rPr>
        <sz val="11"/>
        <color theme="1"/>
        <rFont val="ＭＳ Ｐ明朝"/>
        <family val="1"/>
        <charset val="128"/>
      </rPr>
      <t>は</t>
    </r>
    <r>
      <rPr>
        <sz val="11"/>
        <color theme="1"/>
        <rFont val="Times New Roman"/>
        <family val="1"/>
      </rPr>
      <t>-</t>
    </r>
    <r>
      <rPr>
        <sz val="11"/>
        <color theme="1"/>
        <rFont val="ＭＳ Ｐ明朝"/>
        <family val="1"/>
        <charset val="128"/>
      </rPr>
      <t>∞に発散する（右式）。</t>
    </r>
    <rPh sb="10" eb="11">
      <t>ウエ</t>
    </rPh>
    <rPh sb="11" eb="12">
      <t>シキ</t>
    </rPh>
    <rPh sb="13" eb="15">
      <t>ヘンケイ</t>
    </rPh>
    <rPh sb="17" eb="19">
      <t>キョクゲン</t>
    </rPh>
    <rPh sb="28" eb="30">
      <t>ハッサン</t>
    </rPh>
    <rPh sb="33" eb="34">
      <t>ミギ</t>
    </rPh>
    <rPh sb="34" eb="35">
      <t>シキ</t>
    </rPh>
    <phoneticPr fontId="1"/>
  </si>
  <si>
    <r>
      <rPr>
        <sz val="11"/>
        <color theme="1"/>
        <rFont val="ＭＳ Ｐ明朝"/>
        <family val="1"/>
        <charset val="128"/>
      </rPr>
      <t>　</t>
    </r>
    <r>
      <rPr>
        <sz val="11"/>
        <color theme="1"/>
        <rFont val="Times New Roman"/>
        <family val="1"/>
      </rPr>
      <t>=</t>
    </r>
    <phoneticPr fontId="1"/>
  </si>
  <si>
    <t>day</t>
    <phoneticPr fontId="1"/>
  </si>
  <si>
    <t>このため、土中水がなくなっても排水が継続するという矛盾が生じる。透水係数の減少傾向は指数関数で表現出来ることもあるが、こうした限界にも留意が必要である。</t>
    <rPh sb="5" eb="7">
      <t>ドチュウ</t>
    </rPh>
    <rPh sb="7" eb="8">
      <t>スイ</t>
    </rPh>
    <rPh sb="15" eb="17">
      <t>ハイスイ</t>
    </rPh>
    <rPh sb="18" eb="20">
      <t>ケイゾク</t>
    </rPh>
    <rPh sb="25" eb="27">
      <t>ムジュン</t>
    </rPh>
    <rPh sb="28" eb="29">
      <t>ショウ</t>
    </rPh>
    <rPh sb="32" eb="34">
      <t>トウスイ</t>
    </rPh>
    <rPh sb="34" eb="36">
      <t>ケイスウ</t>
    </rPh>
    <rPh sb="37" eb="39">
      <t>ゲンショウ</t>
    </rPh>
    <rPh sb="39" eb="41">
      <t>ケイコウ</t>
    </rPh>
    <rPh sb="42" eb="44">
      <t>シスウ</t>
    </rPh>
    <rPh sb="44" eb="46">
      <t>カンスウ</t>
    </rPh>
    <rPh sb="47" eb="51">
      <t>ヒョウゲンデキ</t>
    </rPh>
    <rPh sb="63" eb="65">
      <t>ゲンカイ</t>
    </rPh>
    <rPh sb="67" eb="69">
      <t>リュウイ</t>
    </rPh>
    <rPh sb="70" eb="72">
      <t>ヒツヨウ</t>
    </rPh>
    <phoneticPr fontId="1"/>
  </si>
  <si>
    <r>
      <rPr>
        <sz val="11"/>
        <color theme="1"/>
        <rFont val="ＭＳ Ｐ明朝"/>
        <family val="1"/>
        <charset val="128"/>
      </rPr>
      <t>この問題で仮定した透水係数関数は水分量に対して指数関数的に減少する関数形であり、</t>
    </r>
    <r>
      <rPr>
        <sz val="11"/>
        <color theme="1"/>
        <rFont val="Symbol"/>
        <family val="1"/>
        <charset val="2"/>
      </rPr>
      <t>q</t>
    </r>
    <r>
      <rPr>
        <sz val="11"/>
        <color theme="1"/>
        <rFont val="Times New Roman"/>
        <family val="1"/>
      </rPr>
      <t xml:space="preserve"> = 0</t>
    </r>
    <r>
      <rPr>
        <sz val="11"/>
        <color theme="1"/>
        <rFont val="ＭＳ Ｐ明朝"/>
        <family val="1"/>
        <charset val="128"/>
      </rPr>
      <t>においても</t>
    </r>
    <r>
      <rPr>
        <i/>
        <sz val="11"/>
        <color theme="1"/>
        <rFont val="Times New Roman"/>
        <family val="1"/>
      </rPr>
      <t>K</t>
    </r>
    <r>
      <rPr>
        <sz val="11"/>
        <color theme="1"/>
        <rFont val="ＭＳ Ｐ明朝"/>
        <family val="1"/>
        <charset val="128"/>
      </rPr>
      <t>は</t>
    </r>
    <r>
      <rPr>
        <sz val="11"/>
        <color theme="1"/>
        <rFont val="Times New Roman"/>
        <family val="1"/>
      </rPr>
      <t>0</t>
    </r>
    <r>
      <rPr>
        <sz val="11"/>
        <color theme="1"/>
        <rFont val="ＭＳ Ｐ明朝"/>
        <family val="1"/>
        <charset val="128"/>
      </rPr>
      <t>にならない</t>
    </r>
    <r>
      <rPr>
        <sz val="11"/>
        <color theme="1"/>
        <rFont val="Times New Roman"/>
        <family val="1"/>
      </rPr>
      <t>(</t>
    </r>
    <r>
      <rPr>
        <i/>
        <sz val="11"/>
        <color theme="1"/>
        <rFont val="Times New Roman"/>
        <family val="1"/>
      </rPr>
      <t>K</t>
    </r>
    <r>
      <rPr>
        <sz val="11"/>
        <color theme="1"/>
        <rFont val="Times New Roman"/>
        <family val="1"/>
      </rPr>
      <t xml:space="preserve">(0) = </t>
    </r>
    <r>
      <rPr>
        <i/>
        <sz val="11"/>
        <color theme="1"/>
        <rFont val="Times New Roman"/>
        <family val="1"/>
      </rPr>
      <t>K</t>
    </r>
    <r>
      <rPr>
        <vertAlign val="subscript"/>
        <sz val="11"/>
        <color theme="1"/>
        <rFont val="Times New Roman"/>
        <family val="1"/>
      </rPr>
      <t>s</t>
    </r>
    <r>
      <rPr>
        <i/>
        <sz val="11"/>
        <color theme="1"/>
        <rFont val="Times New Roman"/>
        <family val="1"/>
      </rPr>
      <t>e</t>
    </r>
    <r>
      <rPr>
        <vertAlign val="superscript"/>
        <sz val="11"/>
        <color theme="1"/>
        <rFont val="ＭＳ Ｐゴシック"/>
        <family val="3"/>
        <charset val="128"/>
      </rPr>
      <t>-</t>
    </r>
    <r>
      <rPr>
        <vertAlign val="superscript"/>
        <sz val="11"/>
        <color theme="1"/>
        <rFont val="Symbol"/>
        <family val="1"/>
        <charset val="2"/>
      </rPr>
      <t>bq</t>
    </r>
    <r>
      <rPr>
        <vertAlign val="superscript"/>
        <sz val="11"/>
        <color theme="1"/>
        <rFont val="ＭＳ Ｐゴシック"/>
        <family val="3"/>
        <charset val="128"/>
      </rPr>
      <t>s</t>
    </r>
    <r>
      <rPr>
        <sz val="11"/>
        <color theme="1"/>
        <rFont val="Times New Roman"/>
        <family val="1"/>
      </rPr>
      <t>)</t>
    </r>
    <r>
      <rPr>
        <sz val="11"/>
        <color theme="1"/>
        <rFont val="ＭＳ Ｐ明朝"/>
        <family val="1"/>
        <charset val="128"/>
      </rPr>
      <t>→</t>
    </r>
    <rPh sb="2" eb="4">
      <t>モンダイ</t>
    </rPh>
    <rPh sb="5" eb="7">
      <t>カテイ</t>
    </rPh>
    <rPh sb="9" eb="11">
      <t>トウスイ</t>
    </rPh>
    <rPh sb="11" eb="13">
      <t>ケイスウ</t>
    </rPh>
    <rPh sb="13" eb="15">
      <t>カンスウ</t>
    </rPh>
    <rPh sb="16" eb="19">
      <t>スイブンリョウ</t>
    </rPh>
    <rPh sb="20" eb="21">
      <t>タイ</t>
    </rPh>
    <rPh sb="23" eb="25">
      <t>シスウ</t>
    </rPh>
    <rPh sb="25" eb="27">
      <t>カンスウ</t>
    </rPh>
    <rPh sb="27" eb="28">
      <t>テキ</t>
    </rPh>
    <rPh sb="29" eb="31">
      <t>ゲンショウ</t>
    </rPh>
    <rPh sb="33" eb="35">
      <t>カンスウ</t>
    </rPh>
    <rPh sb="35" eb="36">
      <t>カタチ</t>
    </rPh>
    <phoneticPr fontId="1"/>
  </si>
  <si>
    <t>静水圧</t>
    <rPh sb="0" eb="1">
      <t>セイ</t>
    </rPh>
    <rPh sb="1" eb="3">
      <t>スイアツ</t>
    </rPh>
    <phoneticPr fontId="1"/>
  </si>
  <si>
    <t>b(t)</t>
    <phoneticPr fontId="1"/>
  </si>
  <si>
    <t>湛水深</t>
    <rPh sb="0" eb="1">
      <t>タン</t>
    </rPh>
    <rPh sb="1" eb="2">
      <t>スイ</t>
    </rPh>
    <rPh sb="2" eb="3">
      <t>シン</t>
    </rPh>
    <phoneticPr fontId="1"/>
  </si>
  <si>
    <t>水頭</t>
    <rPh sb="0" eb="2">
      <t>スイトウ</t>
    </rPh>
    <phoneticPr fontId="1"/>
  </si>
  <si>
    <t>t</t>
    <phoneticPr fontId="1"/>
  </si>
  <si>
    <t>時間</t>
    <rPh sb="0" eb="2">
      <t>ジカン</t>
    </rPh>
    <phoneticPr fontId="1"/>
  </si>
  <si>
    <t>ｈ</t>
    <phoneticPr fontId="1"/>
  </si>
  <si>
    <t>水分フラックス</t>
    <rPh sb="0" eb="2">
      <t>スイブン</t>
    </rPh>
    <phoneticPr fontId="1"/>
  </si>
  <si>
    <t>変水位透水試験</t>
    <rPh sb="0" eb="1">
      <t>ヘン</t>
    </rPh>
    <rPh sb="1" eb="3">
      <t>スイイ</t>
    </rPh>
    <rPh sb="3" eb="5">
      <t>トウスイ</t>
    </rPh>
    <rPh sb="5" eb="7">
      <t>シケン</t>
    </rPh>
    <phoneticPr fontId="1"/>
  </si>
  <si>
    <t>土Ks=??</t>
    <rPh sb="0" eb="1">
      <t>ド</t>
    </rPh>
    <phoneticPr fontId="1"/>
  </si>
  <si>
    <t>上端</t>
    <rPh sb="0" eb="2">
      <t>ジョウタン</t>
    </rPh>
    <phoneticPr fontId="1"/>
  </si>
  <si>
    <t>下端</t>
    <rPh sb="0" eb="2">
      <t>カタン</t>
    </rPh>
    <phoneticPr fontId="1"/>
  </si>
  <si>
    <t>下端は大気に開放</t>
    <rPh sb="0" eb="2">
      <t>カタン</t>
    </rPh>
    <rPh sb="3" eb="5">
      <t>タイキ</t>
    </rPh>
    <rPh sb="6" eb="8">
      <t>カイホウ</t>
    </rPh>
    <phoneticPr fontId="1"/>
  </si>
  <si>
    <t>定水位透水試験</t>
    <rPh sb="0" eb="3">
      <t>テイスイイ</t>
    </rPh>
    <rPh sb="3" eb="5">
      <t>トウスイ</t>
    </rPh>
    <rPh sb="5" eb="7">
      <t>シケン</t>
    </rPh>
    <phoneticPr fontId="1"/>
  </si>
  <si>
    <t>Jw(cm/h)</t>
    <phoneticPr fontId="1"/>
  </si>
  <si>
    <t>カラム長さが短くなると誤差はどうなるか</t>
    <rPh sb="3" eb="4">
      <t>ナガ</t>
    </rPh>
    <rPh sb="6" eb="7">
      <t>ミジカ</t>
    </rPh>
    <rPh sb="11" eb="13">
      <t>ゴサ</t>
    </rPh>
    <phoneticPr fontId="1"/>
  </si>
  <si>
    <t>時間によって湛水深はどのように変化するのか</t>
    <rPh sb="0" eb="2">
      <t>ジカン</t>
    </rPh>
    <rPh sb="6" eb="8">
      <t>タンスイ</t>
    </rPh>
    <rPh sb="8" eb="9">
      <t>シン</t>
    </rPh>
    <rPh sb="15" eb="17">
      <t>ヘンカ</t>
    </rPh>
    <phoneticPr fontId="1"/>
  </si>
  <si>
    <t xml:space="preserve">Ks(変水位) </t>
    <rPh sb="3" eb="4">
      <t>ヘン</t>
    </rPh>
    <rPh sb="4" eb="6">
      <t>スイイ</t>
    </rPh>
    <phoneticPr fontId="1"/>
  </si>
  <si>
    <t>Ks(定水位)</t>
    <rPh sb="3" eb="6">
      <t>テイスイイ</t>
    </rPh>
    <phoneticPr fontId="1"/>
  </si>
  <si>
    <t>誤差%</t>
    <rPh sb="0" eb="2">
      <t>ゴサ</t>
    </rPh>
    <phoneticPr fontId="1"/>
  </si>
  <si>
    <t>L(cm)</t>
    <phoneticPr fontId="1"/>
  </si>
  <si>
    <t>Ks(cm/h)</t>
    <phoneticPr fontId="1"/>
  </si>
  <si>
    <t>交点tの値</t>
    <rPh sb="0" eb="2">
      <t>コウテン</t>
    </rPh>
    <rPh sb="4" eb="5">
      <t>アタイ</t>
    </rPh>
    <phoneticPr fontId="1"/>
  </si>
  <si>
    <t>ｔ（min）</t>
    <phoneticPr fontId="1"/>
  </si>
  <si>
    <t>t(h)</t>
    <phoneticPr fontId="1"/>
  </si>
  <si>
    <t>変水位</t>
    <rPh sb="0" eb="1">
      <t>ヘン</t>
    </rPh>
    <rPh sb="1" eb="3">
      <t>スイイ</t>
    </rPh>
    <phoneticPr fontId="1"/>
  </si>
  <si>
    <t>定水位</t>
    <rPh sb="0" eb="3">
      <t>テイスイイ</t>
    </rPh>
    <phoneticPr fontId="1"/>
  </si>
  <si>
    <t>（成毛）</t>
    <rPh sb="1" eb="3">
      <t>ナルケ</t>
    </rPh>
    <phoneticPr fontId="1"/>
  </si>
  <si>
    <t>カラム長</t>
    <rPh sb="3" eb="4">
      <t>ナガ</t>
    </rPh>
    <phoneticPr fontId="1"/>
  </si>
  <si>
    <t>経過時間</t>
    <rPh sb="0" eb="2">
      <t>ケイカ</t>
    </rPh>
    <rPh sb="2" eb="4">
      <t>ジカン</t>
    </rPh>
    <phoneticPr fontId="1"/>
  </si>
  <si>
    <t>初期水位</t>
    <rPh sb="0" eb="2">
      <t>ショキ</t>
    </rPh>
    <rPh sb="2" eb="4">
      <t>スイイ</t>
    </rPh>
    <phoneticPr fontId="1"/>
  </si>
  <si>
    <t>最終水位</t>
    <rPh sb="0" eb="2">
      <t>サイシュウ</t>
    </rPh>
    <rPh sb="2" eb="4">
      <t>スイイ</t>
    </rPh>
    <phoneticPr fontId="1"/>
  </si>
  <si>
    <t>テキストp81の3.21式</t>
    <rPh sb="12" eb="13">
      <t>シキ</t>
    </rPh>
    <phoneticPr fontId="1"/>
  </si>
  <si>
    <t>ここに右表の値を代入すると</t>
    <rPh sb="3" eb="4">
      <t>ミギ</t>
    </rPh>
    <rPh sb="4" eb="5">
      <t>ヒョウ</t>
    </rPh>
    <rPh sb="6" eb="7">
      <t>アタイ</t>
    </rPh>
    <rPh sb="8" eb="10">
      <t>ダイニュウ</t>
    </rPh>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</si>
  <si>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 xml:space="preserve"> =</t>
    </r>
    <phoneticPr fontId="1"/>
  </si>
  <si>
    <t>cm/h</t>
    <phoneticPr fontId="1"/>
  </si>
  <si>
    <t>1hで20cmの水が流下するので、これを20 cm/hの一定流速で流下したと仮定する。</t>
    <rPh sb="8" eb="9">
      <t>ミズ</t>
    </rPh>
    <rPh sb="10" eb="12">
      <t>リュウカ</t>
    </rPh>
    <rPh sb="28" eb="30">
      <t>イッテイ</t>
    </rPh>
    <rPh sb="30" eb="32">
      <t>リュウソク</t>
    </rPh>
    <rPh sb="33" eb="35">
      <t>リュウカ</t>
    </rPh>
    <rPh sb="38" eb="40">
      <t>カテイ</t>
    </rPh>
    <phoneticPr fontId="1"/>
  </si>
  <si>
    <t>また、20 cmから0 cmに減少する湛水深については、平均的には10 cmの湛水深と見なす。</t>
    <rPh sb="15" eb="17">
      <t>ゲンショウ</t>
    </rPh>
    <rPh sb="19" eb="20">
      <t>ジン</t>
    </rPh>
    <rPh sb="20" eb="22">
      <t>スイシン</t>
    </rPh>
    <rPh sb="28" eb="31">
      <t>ヘイキンテキ</t>
    </rPh>
    <rPh sb="39" eb="40">
      <t>ジン</t>
    </rPh>
    <rPh sb="40" eb="42">
      <t>スイシン</t>
    </rPh>
    <rPh sb="43" eb="44">
      <t>ミ</t>
    </rPh>
    <phoneticPr fontId="1"/>
  </si>
  <si>
    <t>すると、単純な定常水分流れのダルシー則で(a)を近似できる。</t>
    <rPh sb="4" eb="6">
      <t>タンジュン</t>
    </rPh>
    <rPh sb="7" eb="9">
      <t>テイジョウ</t>
    </rPh>
    <rPh sb="9" eb="11">
      <t>スイブン</t>
    </rPh>
    <rPh sb="11" eb="12">
      <t>ナガ</t>
    </rPh>
    <rPh sb="18" eb="19">
      <t>ソク</t>
    </rPh>
    <rPh sb="24" eb="26">
      <t>キンジ</t>
    </rPh>
    <phoneticPr fontId="1"/>
  </si>
  <si>
    <t>ここで、右表の値を代入すると</t>
    <rPh sb="4" eb="5">
      <t>ミギ</t>
    </rPh>
    <rPh sb="5" eb="6">
      <t>ヒョウ</t>
    </rPh>
    <rPh sb="7" eb="8">
      <t>アタイ</t>
    </rPh>
    <rPh sb="9" eb="11">
      <t>ダイニュウ</t>
    </rPh>
    <phoneticPr fontId="1"/>
  </si>
  <si>
    <t>ここで(a)と(b)の差を比べると</t>
    <rPh sb="11" eb="12">
      <t>サ</t>
    </rPh>
    <rPh sb="13" eb="14">
      <t>クラ</t>
    </rPh>
    <phoneticPr fontId="1"/>
  </si>
  <si>
    <r>
      <rPr>
        <i/>
        <sz val="11"/>
        <color theme="1"/>
        <rFont val="Symbol"/>
        <family val="1"/>
        <charset val="2"/>
      </rPr>
      <t>D</t>
    </r>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 xml:space="preserve"> =</t>
    </r>
    <phoneticPr fontId="1"/>
  </si>
  <si>
    <t>定常流の近似が透水係数を過小評価することが分かる。</t>
    <rPh sb="0" eb="2">
      <t>テイジョウ</t>
    </rPh>
    <rPh sb="2" eb="3">
      <t>リュウ</t>
    </rPh>
    <rPh sb="4" eb="6">
      <t>キンジ</t>
    </rPh>
    <rPh sb="7" eb="9">
      <t>トウスイ</t>
    </rPh>
    <rPh sb="9" eb="11">
      <t>ケイスウ</t>
    </rPh>
    <rPh sb="12" eb="14">
      <t>カショウ</t>
    </rPh>
    <rPh sb="14" eb="16">
      <t>ヒョウカ</t>
    </rPh>
    <rPh sb="21" eb="22">
      <t>ワ</t>
    </rPh>
    <phoneticPr fontId="1"/>
  </si>
  <si>
    <t>1:1</t>
    <phoneticPr fontId="1"/>
  </si>
  <si>
    <t>変水位試験の流速は始め速く、徐々に遅くなるため、水位が半分になる時間が水位が0となる時間の半分より早い。</t>
    <rPh sb="0" eb="1">
      <t>ヘン</t>
    </rPh>
    <rPh sb="1" eb="3">
      <t>スイイ</t>
    </rPh>
    <rPh sb="3" eb="5">
      <t>シケン</t>
    </rPh>
    <rPh sb="6" eb="8">
      <t>リュウソク</t>
    </rPh>
    <rPh sb="9" eb="10">
      <t>ハジ</t>
    </rPh>
    <rPh sb="11" eb="12">
      <t>ハヤ</t>
    </rPh>
    <rPh sb="14" eb="16">
      <t>ジョジョ</t>
    </rPh>
    <rPh sb="17" eb="18">
      <t>オソ</t>
    </rPh>
    <rPh sb="24" eb="26">
      <t>スイイ</t>
    </rPh>
    <rPh sb="27" eb="29">
      <t>ハンブン</t>
    </rPh>
    <rPh sb="32" eb="34">
      <t>ジカン</t>
    </rPh>
    <rPh sb="35" eb="37">
      <t>スイイ</t>
    </rPh>
    <rPh sb="49" eb="50">
      <t>ハヤ</t>
    </rPh>
    <phoneticPr fontId="1"/>
  </si>
  <si>
    <t>一方、定常流で近似するということは、水位は一定速度で低下していくことに等しく、水位が半分になる時間は水位が</t>
    <rPh sb="0" eb="2">
      <t>イッポウ</t>
    </rPh>
    <rPh sb="3" eb="5">
      <t>テイジョウ</t>
    </rPh>
    <rPh sb="5" eb="6">
      <t>リュウ</t>
    </rPh>
    <rPh sb="7" eb="9">
      <t>キンジ</t>
    </rPh>
    <rPh sb="18" eb="20">
      <t>スイイ</t>
    </rPh>
    <rPh sb="21" eb="23">
      <t>イッテイ</t>
    </rPh>
    <rPh sb="23" eb="25">
      <t>ソクド</t>
    </rPh>
    <rPh sb="26" eb="28">
      <t>テイカ</t>
    </rPh>
    <rPh sb="35" eb="36">
      <t>ヒト</t>
    </rPh>
    <rPh sb="39" eb="41">
      <t>スイイ</t>
    </rPh>
    <rPh sb="42" eb="44">
      <t>ハンブン</t>
    </rPh>
    <rPh sb="47" eb="49">
      <t>ジカン</t>
    </rPh>
    <rPh sb="50" eb="52">
      <t>スイイ</t>
    </rPh>
    <phoneticPr fontId="1"/>
  </si>
  <si>
    <t>0になるまでにかかる時間の半分に等しい（下図）。この差が、近似した透水係数の誤差の原因である。</t>
    <rPh sb="10" eb="12">
      <t>ジカン</t>
    </rPh>
    <rPh sb="13" eb="15">
      <t>ハンブン</t>
    </rPh>
    <rPh sb="16" eb="17">
      <t>ヒト</t>
    </rPh>
    <rPh sb="20" eb="22">
      <t>カズ</t>
    </rPh>
    <rPh sb="26" eb="27">
      <t>サ</t>
    </rPh>
    <rPh sb="29" eb="31">
      <t>キンジ</t>
    </rPh>
    <rPh sb="33" eb="35">
      <t>トウスイ</t>
    </rPh>
    <rPh sb="35" eb="37">
      <t>ケイスウ</t>
    </rPh>
    <rPh sb="38" eb="40">
      <t>ゴサ</t>
    </rPh>
    <rPh sb="41" eb="43">
      <t>ゲンイン</t>
    </rPh>
    <phoneticPr fontId="1"/>
  </si>
  <si>
    <t>問題3.11</t>
    <rPh sb="0" eb="2">
      <t>モンダイ</t>
    </rPh>
    <phoneticPr fontId="1"/>
  </si>
  <si>
    <t>問題3.12</t>
    <rPh sb="0" eb="2">
      <t>モンダイ</t>
    </rPh>
    <phoneticPr fontId="1"/>
  </si>
  <si>
    <t>誤差=</t>
    <rPh sb="0" eb="2">
      <t>ゴサ</t>
    </rPh>
    <phoneticPr fontId="1"/>
  </si>
  <si>
    <t>%</t>
    <phoneticPr fontId="1"/>
  </si>
  <si>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に対する</t>
    </r>
    <r>
      <rPr>
        <sz val="11"/>
        <color theme="1"/>
        <rFont val="Symbol"/>
        <family val="1"/>
        <charset val="2"/>
      </rPr>
      <t>D</t>
    </r>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の割合を誤差とすると</t>
    </r>
    <rPh sb="3" eb="4">
      <t>タイ</t>
    </rPh>
    <rPh sb="10" eb="12">
      <t>ワリアイ</t>
    </rPh>
    <rPh sb="13" eb="15">
      <t>ゴサ</t>
    </rPh>
    <phoneticPr fontId="1"/>
  </si>
  <si>
    <t>カラム長が短いほど、透水係数の誤差は大きくなる。</t>
    <rPh sb="3" eb="4">
      <t>ナガ</t>
    </rPh>
    <rPh sb="5" eb="6">
      <t>ミジカ</t>
    </rPh>
    <rPh sb="10" eb="12">
      <t>トウスイ</t>
    </rPh>
    <rPh sb="12" eb="14">
      <t>ケイスウ</t>
    </rPh>
    <rPh sb="15" eb="17">
      <t>ゴサ</t>
    </rPh>
    <rPh sb="18" eb="19">
      <t>オオ</t>
    </rPh>
    <phoneticPr fontId="1"/>
  </si>
  <si>
    <r>
      <rPr>
        <i/>
        <sz val="11"/>
        <color theme="1"/>
        <rFont val="ＭＳ Ｐゴシック"/>
        <family val="3"/>
        <charset val="128"/>
        <scheme val="minor"/>
      </rPr>
      <t>t</t>
    </r>
    <r>
      <rPr>
        <vertAlign val="subscript"/>
        <sz val="11"/>
        <color theme="1"/>
        <rFont val="ＭＳ Ｐゴシック"/>
        <family val="3"/>
        <charset val="128"/>
        <scheme val="minor"/>
      </rPr>
      <t>1</t>
    </r>
    <phoneticPr fontId="1"/>
  </si>
  <si>
    <r>
      <rPr>
        <i/>
        <sz val="11"/>
        <color theme="1"/>
        <rFont val="ＭＳ Ｐゴシック"/>
        <family val="3"/>
        <charset val="128"/>
        <scheme val="minor"/>
      </rPr>
      <t>b</t>
    </r>
    <r>
      <rPr>
        <vertAlign val="subscript"/>
        <sz val="11"/>
        <color theme="1"/>
        <rFont val="ＭＳ Ｐゴシック"/>
        <family val="3"/>
        <charset val="128"/>
        <scheme val="minor"/>
      </rPr>
      <t>0</t>
    </r>
    <phoneticPr fontId="1"/>
  </si>
  <si>
    <r>
      <rPr>
        <i/>
        <sz val="11"/>
        <color theme="1"/>
        <rFont val="ＭＳ Ｐゴシック"/>
        <family val="3"/>
        <charset val="128"/>
        <scheme val="minor"/>
      </rPr>
      <t>b</t>
    </r>
    <r>
      <rPr>
        <vertAlign val="subscript"/>
        <sz val="11"/>
        <color theme="1"/>
        <rFont val="ＭＳ Ｐゴシック"/>
        <family val="3"/>
        <charset val="128"/>
        <scheme val="minor"/>
      </rPr>
      <t>1</t>
    </r>
    <phoneticPr fontId="1"/>
  </si>
  <si>
    <t>ここで、透水係数を与えるそれぞれの式を以下のように変形してみる。</t>
    <rPh sb="4" eb="6">
      <t>トウスイ</t>
    </rPh>
    <rPh sb="6" eb="8">
      <t>ケイスウ</t>
    </rPh>
    <rPh sb="9" eb="10">
      <t>アタ</t>
    </rPh>
    <rPh sb="17" eb="18">
      <t>シキ</t>
    </rPh>
    <rPh sb="19" eb="21">
      <t>イカ</t>
    </rPh>
    <rPh sb="25" eb="27">
      <t>ヘンケイ</t>
    </rPh>
    <phoneticPr fontId="1"/>
  </si>
  <si>
    <r>
      <t>すなわち、水位とカラム長の比</t>
    </r>
    <r>
      <rPr>
        <i/>
        <sz val="11"/>
        <color theme="1"/>
        <rFont val="ＭＳ Ｐゴシック"/>
        <family val="3"/>
        <charset val="128"/>
        <scheme val="minor"/>
      </rPr>
      <t>x</t>
    </r>
    <r>
      <rPr>
        <sz val="11"/>
        <color theme="1"/>
        <rFont val="ＭＳ Ｐゴシック"/>
        <family val="2"/>
        <charset val="128"/>
        <scheme val="minor"/>
      </rPr>
      <t xml:space="preserve"> = </t>
    </r>
    <r>
      <rPr>
        <i/>
        <sz val="11"/>
        <color theme="1"/>
        <rFont val="ＭＳ Ｐゴシック"/>
        <family val="3"/>
        <charset val="128"/>
        <scheme val="minor"/>
      </rPr>
      <t>b</t>
    </r>
    <r>
      <rPr>
        <sz val="11"/>
        <color theme="1"/>
        <rFont val="ＭＳ Ｐゴシック"/>
        <family val="2"/>
        <charset val="128"/>
        <scheme val="minor"/>
      </rPr>
      <t>/</t>
    </r>
    <r>
      <rPr>
        <i/>
        <sz val="11"/>
        <color theme="1"/>
        <rFont val="ＭＳ Ｐゴシック"/>
        <family val="3"/>
        <charset val="128"/>
        <scheme val="minor"/>
      </rPr>
      <t>L</t>
    </r>
    <r>
      <rPr>
        <sz val="11"/>
        <color theme="1"/>
        <rFont val="ＭＳ Ｐゴシック"/>
        <family val="2"/>
        <charset val="128"/>
        <scheme val="minor"/>
      </rPr>
      <t>に対し、</t>
    </r>
    <r>
      <rPr>
        <sz val="11"/>
        <color theme="1"/>
        <rFont val="ＭＳ Ｐゴシック"/>
        <family val="3"/>
        <charset val="128"/>
        <scheme val="minor"/>
      </rPr>
      <t xml:space="preserve">ln(1 + </t>
    </r>
    <r>
      <rPr>
        <i/>
        <sz val="11"/>
        <color theme="1"/>
        <rFont val="ＭＳ Ｐゴシック"/>
        <family val="3"/>
        <charset val="128"/>
        <scheme val="minor"/>
      </rPr>
      <t>x</t>
    </r>
    <r>
      <rPr>
        <sz val="11"/>
        <color theme="1"/>
        <rFont val="ＭＳ Ｐゴシック"/>
        <family val="3"/>
        <charset val="128"/>
        <scheme val="minor"/>
      </rPr>
      <t>)を2項までのマクローリン</t>
    </r>
    <rPh sb="5" eb="7">
      <t>スイイ</t>
    </rPh>
    <rPh sb="11" eb="12">
      <t>チョウ</t>
    </rPh>
    <rPh sb="13" eb="14">
      <t>ヒ</t>
    </rPh>
    <rPh sb="22" eb="23">
      <t>タイ</t>
    </rPh>
    <rPh sb="36" eb="37">
      <t>コウ</t>
    </rPh>
    <phoneticPr fontId="1"/>
  </si>
  <si>
    <r>
      <t xml:space="preserve">近似が成り立ち、且つ1 - </t>
    </r>
    <r>
      <rPr>
        <i/>
        <sz val="11"/>
        <color theme="1"/>
        <rFont val="ＭＳ Ｐゴシック"/>
        <family val="3"/>
        <charset val="128"/>
        <scheme val="minor"/>
      </rPr>
      <t>x</t>
    </r>
    <r>
      <rPr>
        <vertAlign val="superscript"/>
        <sz val="11"/>
        <color theme="1"/>
        <rFont val="ＭＳ Ｐゴシック"/>
        <family val="3"/>
        <charset val="128"/>
        <scheme val="minor"/>
      </rPr>
      <t>4</t>
    </r>
    <r>
      <rPr>
        <sz val="11"/>
        <color theme="1"/>
        <rFont val="ＭＳ Ｐゴシック"/>
        <family val="2"/>
        <charset val="128"/>
        <scheme val="minor"/>
      </rPr>
      <t>/2≒1とみなせる範囲で両者は一致する。</t>
    </r>
    <rPh sb="0" eb="2">
      <t>キンジ</t>
    </rPh>
    <rPh sb="3" eb="4">
      <t>ナ</t>
    </rPh>
    <rPh sb="5" eb="6">
      <t>タ</t>
    </rPh>
    <rPh sb="8" eb="9">
      <t>カ</t>
    </rPh>
    <rPh sb="25" eb="27">
      <t>ハンイ</t>
    </rPh>
    <rPh sb="28" eb="30">
      <t>リョウシャ</t>
    </rPh>
    <rPh sb="31" eb="33">
      <t>イッチ</t>
    </rPh>
    <phoneticPr fontId="1"/>
  </si>
  <si>
    <r>
      <rPr>
        <i/>
        <sz val="11"/>
        <color theme="1"/>
        <rFont val="Times New Roman"/>
        <family val="1"/>
      </rPr>
      <t>x</t>
    </r>
    <r>
      <rPr>
        <sz val="11"/>
        <color theme="1"/>
        <rFont val="Times New Roman"/>
        <family val="1"/>
      </rPr>
      <t>/(1 + 0.5</t>
    </r>
    <r>
      <rPr>
        <i/>
        <sz val="11"/>
        <color theme="1"/>
        <rFont val="Times New Roman"/>
        <family val="1"/>
      </rPr>
      <t>x</t>
    </r>
    <r>
      <rPr>
        <sz val="11"/>
        <color theme="1"/>
        <rFont val="Times New Roman"/>
        <family val="1"/>
      </rPr>
      <t>)</t>
    </r>
    <phoneticPr fontId="1"/>
  </si>
  <si>
    <r>
      <t>ln(1+</t>
    </r>
    <r>
      <rPr>
        <i/>
        <sz val="11"/>
        <color theme="1"/>
        <rFont val="Times New Roman"/>
        <family val="1"/>
      </rPr>
      <t>x</t>
    </r>
    <r>
      <rPr>
        <sz val="11"/>
        <color theme="1"/>
        <rFont val="Times New Roman"/>
        <family val="1"/>
      </rPr>
      <t>)</t>
    </r>
    <phoneticPr fontId="1"/>
  </si>
  <si>
    <t>|D|</t>
    <phoneticPr fontId="1"/>
  </si>
  <si>
    <r>
      <t>この範囲は</t>
    </r>
    <r>
      <rPr>
        <i/>
        <sz val="11"/>
        <color theme="1"/>
        <rFont val="ＭＳ Ｐゴシック"/>
        <family val="3"/>
        <charset val="128"/>
        <scheme val="minor"/>
      </rPr>
      <t>K</t>
    </r>
    <r>
      <rPr>
        <vertAlign val="subscript"/>
        <sz val="11"/>
        <color theme="1"/>
        <rFont val="ＭＳ Ｐゴシック"/>
        <family val="3"/>
        <charset val="128"/>
        <scheme val="minor"/>
      </rPr>
      <t>s</t>
    </r>
    <r>
      <rPr>
        <sz val="11"/>
        <color theme="1"/>
        <rFont val="ＭＳ Ｐゴシック"/>
        <family val="2"/>
        <charset val="128"/>
        <scheme val="minor"/>
      </rPr>
      <t>に対して</t>
    </r>
    <r>
      <rPr>
        <sz val="11"/>
        <color theme="1"/>
        <rFont val="Symbol"/>
        <family val="1"/>
        <charset val="2"/>
      </rPr>
      <t>D</t>
    </r>
    <r>
      <rPr>
        <sz val="11"/>
        <color theme="1"/>
        <rFont val="ＭＳ Ｐゴシック"/>
        <family val="3"/>
        <charset val="128"/>
        <scheme val="minor"/>
      </rPr>
      <t>×</t>
    </r>
    <r>
      <rPr>
        <i/>
        <sz val="11"/>
        <color theme="1"/>
        <rFont val="ＭＳ Ｐゴシック"/>
        <family val="3"/>
        <charset val="128"/>
        <scheme val="minor"/>
      </rPr>
      <t>L</t>
    </r>
    <r>
      <rPr>
        <sz val="11"/>
        <color theme="1"/>
        <rFont val="ＭＳ Ｐゴシック"/>
        <family val="2"/>
        <charset val="128"/>
        <scheme val="minor"/>
      </rPr>
      <t>/</t>
    </r>
    <r>
      <rPr>
        <i/>
        <sz val="11"/>
        <color theme="1"/>
        <rFont val="ＭＳ Ｐゴシック"/>
        <family val="3"/>
        <charset val="128"/>
        <scheme val="minor"/>
      </rPr>
      <t>t</t>
    </r>
    <r>
      <rPr>
        <sz val="11"/>
        <color theme="1"/>
        <rFont val="ＭＳ Ｐゴシック"/>
        <family val="2"/>
        <charset val="128"/>
        <scheme val="minor"/>
      </rPr>
      <t>が十分に小さいときともいえる。</t>
    </r>
    <rPh sb="2" eb="4">
      <t>ハンイ</t>
    </rPh>
    <rPh sb="8" eb="9">
      <t>タイ</t>
    </rPh>
    <rPh sb="17" eb="19">
      <t>ジュウブン</t>
    </rPh>
    <rPh sb="20" eb="21">
      <t>チイ</t>
    </rPh>
    <phoneticPr fontId="1"/>
  </si>
  <si>
    <t>追加</t>
    <rPh sb="0" eb="2">
      <t>ツイカ</t>
    </rPh>
    <phoneticPr fontId="1"/>
  </si>
  <si>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 xml:space="preserve"> (cm/h)</t>
    </r>
    <phoneticPr fontId="1"/>
  </si>
  <si>
    <r>
      <rPr>
        <i/>
        <sz val="11"/>
        <color theme="1"/>
        <rFont val="ＭＳ Ｐゴシック"/>
        <family val="3"/>
        <charset val="128"/>
        <scheme val="minor"/>
      </rPr>
      <t>H</t>
    </r>
    <r>
      <rPr>
        <sz val="11"/>
        <color theme="1"/>
        <rFont val="ＭＳ Ｐゴシック"/>
        <family val="2"/>
        <charset val="128"/>
        <scheme val="minor"/>
      </rPr>
      <t xml:space="preserve"> = </t>
    </r>
    <r>
      <rPr>
        <i/>
        <sz val="11"/>
        <color theme="1"/>
        <rFont val="ＭＳ Ｐゴシック"/>
        <family val="3"/>
        <charset val="128"/>
        <scheme val="minor"/>
      </rPr>
      <t>p</t>
    </r>
    <r>
      <rPr>
        <sz val="11"/>
        <color theme="1"/>
        <rFont val="ＭＳ Ｐゴシック"/>
        <family val="2"/>
        <charset val="128"/>
        <scheme val="minor"/>
      </rPr>
      <t xml:space="preserve"> + </t>
    </r>
    <r>
      <rPr>
        <i/>
        <sz val="11"/>
        <color theme="1"/>
        <rFont val="ＭＳ Ｐゴシック"/>
        <family val="3"/>
        <charset val="128"/>
        <scheme val="minor"/>
      </rPr>
      <t>z</t>
    </r>
    <phoneticPr fontId="1"/>
  </si>
  <si>
    <t>p</t>
    <phoneticPr fontId="1"/>
  </si>
  <si>
    <t>z</t>
    <phoneticPr fontId="1"/>
  </si>
  <si>
    <r>
      <t xml:space="preserve">10 + </t>
    </r>
    <r>
      <rPr>
        <i/>
        <sz val="11"/>
        <color theme="1"/>
        <rFont val="ＭＳ Ｐゴシック"/>
        <family val="3"/>
        <charset val="128"/>
        <scheme val="minor"/>
      </rPr>
      <t>L</t>
    </r>
    <phoneticPr fontId="1"/>
  </si>
  <si>
    <t>L</t>
    <phoneticPr fontId="1"/>
  </si>
  <si>
    <r>
      <rPr>
        <i/>
        <sz val="11"/>
        <color theme="1"/>
        <rFont val="ＭＳ Ｐゴシック"/>
        <family val="3"/>
        <charset val="128"/>
        <scheme val="minor"/>
      </rPr>
      <t>b</t>
    </r>
    <r>
      <rPr>
        <vertAlign val="subscript"/>
        <sz val="11"/>
        <color theme="1"/>
        <rFont val="ＭＳ Ｐゴシック"/>
        <family val="3"/>
        <charset val="128"/>
        <scheme val="minor"/>
      </rPr>
      <t>0</t>
    </r>
    <phoneticPr fontId="1"/>
  </si>
  <si>
    <r>
      <rPr>
        <i/>
        <sz val="11"/>
        <color theme="1"/>
        <rFont val="ＭＳ Ｐゴシック"/>
        <family val="3"/>
        <charset val="128"/>
        <scheme val="minor"/>
      </rPr>
      <t>t</t>
    </r>
    <r>
      <rPr>
        <vertAlign val="subscript"/>
        <sz val="11"/>
        <color theme="1"/>
        <rFont val="ＭＳ Ｐゴシック"/>
        <family val="3"/>
        <charset val="128"/>
        <scheme val="minor"/>
      </rPr>
      <t>0</t>
    </r>
    <phoneticPr fontId="1"/>
  </si>
  <si>
    <r>
      <rPr>
        <i/>
        <sz val="11"/>
        <color theme="1"/>
        <rFont val="ＭＳ Ｐゴシック"/>
        <family val="3"/>
        <charset val="128"/>
        <scheme val="minor"/>
      </rPr>
      <t>b</t>
    </r>
    <r>
      <rPr>
        <vertAlign val="subscript"/>
        <sz val="11"/>
        <color theme="1"/>
        <rFont val="ＭＳ Ｐゴシック"/>
        <family val="3"/>
        <charset val="128"/>
        <scheme val="minor"/>
      </rPr>
      <t>1</t>
    </r>
    <phoneticPr fontId="1"/>
  </si>
  <si>
    <r>
      <rPr>
        <i/>
        <sz val="11"/>
        <color theme="1"/>
        <rFont val="ＭＳ Ｐゴシック"/>
        <family val="3"/>
        <charset val="128"/>
        <scheme val="minor"/>
      </rPr>
      <t>t</t>
    </r>
    <r>
      <rPr>
        <vertAlign val="subscript"/>
        <sz val="11"/>
        <color theme="1"/>
        <rFont val="ＭＳ Ｐゴシック"/>
        <family val="3"/>
        <charset val="128"/>
        <scheme val="minor"/>
      </rPr>
      <t>1</t>
    </r>
    <phoneticPr fontId="1"/>
  </si>
  <si>
    <r>
      <rPr>
        <i/>
        <sz val="11"/>
        <color theme="1"/>
        <rFont val="ＭＳ Ｐゴシック"/>
        <family val="3"/>
        <charset val="128"/>
        <scheme val="minor"/>
      </rPr>
      <t>b</t>
    </r>
    <r>
      <rPr>
        <sz val="11"/>
        <color theme="1"/>
        <rFont val="ＭＳ Ｐゴシック"/>
        <family val="2"/>
        <charset val="128"/>
        <scheme val="minor"/>
      </rPr>
      <t>(</t>
    </r>
    <r>
      <rPr>
        <i/>
        <sz val="11"/>
        <color theme="1"/>
        <rFont val="ＭＳ Ｐゴシック"/>
        <family val="3"/>
        <charset val="128"/>
        <scheme val="minor"/>
      </rPr>
      <t>t</t>
    </r>
    <r>
      <rPr>
        <sz val="11"/>
        <color theme="1"/>
        <rFont val="ＭＳ Ｐゴシック"/>
        <family val="2"/>
        <charset val="128"/>
        <scheme val="minor"/>
      </rPr>
      <t>)</t>
    </r>
    <phoneticPr fontId="1"/>
  </si>
  <si>
    <r>
      <rPr>
        <i/>
        <sz val="11"/>
        <color theme="1"/>
        <rFont val="ＭＳ Ｐゴシック"/>
        <family val="3"/>
        <charset val="128"/>
        <scheme val="minor"/>
      </rPr>
      <t>b</t>
    </r>
    <r>
      <rPr>
        <sz val="11"/>
        <color theme="1"/>
        <rFont val="ＭＳ Ｐゴシック"/>
        <family val="2"/>
        <charset val="128"/>
        <scheme val="minor"/>
      </rPr>
      <t>(</t>
    </r>
    <r>
      <rPr>
        <i/>
        <sz val="11"/>
        <color theme="1"/>
        <rFont val="ＭＳ Ｐゴシック"/>
        <family val="3"/>
        <charset val="128"/>
        <scheme val="minor"/>
      </rPr>
      <t>t</t>
    </r>
    <r>
      <rPr>
        <sz val="11"/>
        <color theme="1"/>
        <rFont val="ＭＳ Ｐゴシック"/>
        <family val="2"/>
        <charset val="128"/>
        <scheme val="minor"/>
      </rPr>
      <t xml:space="preserve">) + </t>
    </r>
    <r>
      <rPr>
        <i/>
        <sz val="11"/>
        <color theme="1"/>
        <rFont val="ＭＳ Ｐゴシック"/>
        <family val="3"/>
        <charset val="128"/>
        <scheme val="minor"/>
      </rPr>
      <t>L</t>
    </r>
    <phoneticPr fontId="1"/>
  </si>
  <si>
    <r>
      <rPr>
        <i/>
        <sz val="11"/>
        <color theme="1"/>
        <rFont val="ＭＳ Ｐゴシック"/>
        <family val="3"/>
        <charset val="128"/>
        <scheme val="minor"/>
      </rPr>
      <t>J</t>
    </r>
    <r>
      <rPr>
        <vertAlign val="subscript"/>
        <sz val="11"/>
        <color theme="1"/>
        <rFont val="ＭＳ Ｐゴシック"/>
        <family val="3"/>
        <charset val="128"/>
        <scheme val="minor"/>
      </rPr>
      <t>w</t>
    </r>
    <r>
      <rPr>
        <sz val="11"/>
        <color theme="1"/>
        <rFont val="ＭＳ Ｐゴシック"/>
        <family val="2"/>
        <charset val="128"/>
        <scheme val="minor"/>
      </rPr>
      <t xml:space="preserve"> = d</t>
    </r>
    <r>
      <rPr>
        <i/>
        <sz val="11"/>
        <color theme="1"/>
        <rFont val="ＭＳ Ｐゴシック"/>
        <family val="3"/>
        <charset val="128"/>
        <scheme val="minor"/>
      </rPr>
      <t>b</t>
    </r>
    <r>
      <rPr>
        <sz val="11"/>
        <color theme="1"/>
        <rFont val="ＭＳ Ｐゴシック"/>
        <family val="2"/>
        <charset val="128"/>
        <scheme val="minor"/>
      </rPr>
      <t>(</t>
    </r>
    <r>
      <rPr>
        <i/>
        <sz val="11"/>
        <color theme="1"/>
        <rFont val="ＭＳ Ｐゴシック"/>
        <family val="3"/>
        <charset val="128"/>
        <scheme val="minor"/>
      </rPr>
      <t>t</t>
    </r>
    <r>
      <rPr>
        <sz val="11"/>
        <color theme="1"/>
        <rFont val="ＭＳ Ｐゴシック"/>
        <family val="2"/>
        <charset val="128"/>
        <scheme val="minor"/>
      </rPr>
      <t>)/d</t>
    </r>
    <r>
      <rPr>
        <i/>
        <sz val="11"/>
        <color theme="1"/>
        <rFont val="ＭＳ Ｐゴシック"/>
        <family val="3"/>
        <charset val="128"/>
        <scheme val="minor"/>
      </rPr>
      <t>t</t>
    </r>
    <phoneticPr fontId="1"/>
  </si>
  <si>
    <r>
      <t>初期湛水深</t>
    </r>
    <r>
      <rPr>
        <i/>
        <sz val="11"/>
        <color theme="1"/>
        <rFont val="ＭＳ Ｐゴシック"/>
        <family val="3"/>
        <charset val="128"/>
        <scheme val="minor"/>
      </rPr>
      <t>b</t>
    </r>
    <r>
      <rPr>
        <sz val="11"/>
        <color theme="1"/>
        <rFont val="ＭＳ Ｐゴシック"/>
        <family val="3"/>
        <charset val="128"/>
        <scheme val="minor"/>
      </rPr>
      <t>と湛水がなくなるまでにかかる時間</t>
    </r>
    <r>
      <rPr>
        <i/>
        <sz val="11"/>
        <color theme="1"/>
        <rFont val="ＭＳ Ｐゴシック"/>
        <family val="3"/>
        <charset val="128"/>
        <scheme val="minor"/>
      </rPr>
      <t>t</t>
    </r>
    <r>
      <rPr>
        <vertAlign val="subscript"/>
        <sz val="11"/>
        <color theme="1"/>
        <rFont val="ＭＳ Ｐゴシック"/>
        <family val="3"/>
        <charset val="128"/>
        <scheme val="minor"/>
      </rPr>
      <t>1</t>
    </r>
    <r>
      <rPr>
        <sz val="11"/>
        <color theme="1"/>
        <rFont val="ＭＳ Ｐゴシック"/>
        <family val="3"/>
        <charset val="128"/>
        <scheme val="minor"/>
      </rPr>
      <t>を任意に与えてみましょう。</t>
    </r>
    <rPh sb="0" eb="2">
      <t>ショキ</t>
    </rPh>
    <rPh sb="2" eb="3">
      <t>ジン</t>
    </rPh>
    <rPh sb="3" eb="5">
      <t>スイシン</t>
    </rPh>
    <rPh sb="7" eb="8">
      <t>ジン</t>
    </rPh>
    <rPh sb="8" eb="9">
      <t>ミズ</t>
    </rPh>
    <rPh sb="20" eb="22">
      <t>ジカン</t>
    </rPh>
    <rPh sb="25" eb="27">
      <t>ニンイ</t>
    </rPh>
    <rPh sb="28" eb="29">
      <t>アタ</t>
    </rPh>
    <phoneticPr fontId="1"/>
  </si>
  <si>
    <r>
      <t>初期湛水深</t>
    </r>
    <r>
      <rPr>
        <i/>
        <sz val="11"/>
        <color theme="1"/>
        <rFont val="ＭＳ Ｐゴシック"/>
        <family val="3"/>
        <charset val="128"/>
        <scheme val="minor"/>
      </rPr>
      <t>b</t>
    </r>
    <r>
      <rPr>
        <vertAlign val="subscript"/>
        <sz val="11"/>
        <color theme="1"/>
        <rFont val="ＭＳ Ｐゴシック"/>
        <family val="3"/>
        <charset val="128"/>
        <scheme val="minor"/>
      </rPr>
      <t>0</t>
    </r>
    <r>
      <rPr>
        <sz val="11"/>
        <color theme="1"/>
        <rFont val="ＭＳ Ｐゴシック"/>
        <family val="3"/>
        <charset val="128"/>
        <scheme val="minor"/>
      </rPr>
      <t>に対し、Lによって透水係数がどのように変化するか、またその際、それぞれの透水試験の湛水深の経時変化を確認できます。</t>
    </r>
    <rPh sb="0" eb="2">
      <t>ショキ</t>
    </rPh>
    <rPh sb="2" eb="3">
      <t>ジン</t>
    </rPh>
    <rPh sb="3" eb="5">
      <t>スイシン</t>
    </rPh>
    <rPh sb="8" eb="9">
      <t>タイ</t>
    </rPh>
    <rPh sb="16" eb="18">
      <t>トウスイ</t>
    </rPh>
    <rPh sb="18" eb="20">
      <t>ケイスウ</t>
    </rPh>
    <rPh sb="26" eb="28">
      <t>ヘンカ</t>
    </rPh>
    <rPh sb="36" eb="37">
      <t>サイ</t>
    </rPh>
    <rPh sb="43" eb="45">
      <t>トウスイ</t>
    </rPh>
    <rPh sb="45" eb="47">
      <t>シケン</t>
    </rPh>
    <rPh sb="48" eb="49">
      <t>ジン</t>
    </rPh>
    <rPh sb="49" eb="51">
      <t>スイシン</t>
    </rPh>
    <rPh sb="52" eb="54">
      <t>ケイジ</t>
    </rPh>
    <rPh sb="54" eb="56">
      <t>ヘンカ</t>
    </rPh>
    <rPh sb="57" eb="59">
      <t>カクニン</t>
    </rPh>
    <phoneticPr fontId="1"/>
  </si>
  <si>
    <t>問題3.13</t>
    <rPh sb="0" eb="2">
      <t>モンダイ</t>
    </rPh>
    <phoneticPr fontId="1"/>
  </si>
  <si>
    <t>なので、関数Ks(z)が右図bのようなステップ関数になっていれば、極限を取ることなく</t>
    <rPh sb="4" eb="6">
      <t>カンスウ</t>
    </rPh>
    <rPh sb="12" eb="13">
      <t>ミギ</t>
    </rPh>
    <rPh sb="13" eb="14">
      <t>ズ</t>
    </rPh>
    <rPh sb="23" eb="25">
      <t>カンスウ</t>
    </rPh>
    <rPh sb="33" eb="35">
      <t>キョクゲン</t>
    </rPh>
    <rPh sb="36" eb="37">
      <t>ト</t>
    </rPh>
    <phoneticPr fontId="1"/>
  </si>
  <si>
    <t>積分は長方形の面積の和と等しくなります。これが「特別な場合」に相当します。</t>
    <rPh sb="0" eb="2">
      <t>セキブン</t>
    </rPh>
    <rPh sb="3" eb="6">
      <t>チョウホウケイ</t>
    </rPh>
    <rPh sb="7" eb="9">
      <t>メンセキ</t>
    </rPh>
    <rPh sb="10" eb="11">
      <t>ワ</t>
    </rPh>
    <rPh sb="12" eb="13">
      <t>ヒト</t>
    </rPh>
    <rPh sb="24" eb="26">
      <t>トクベツ</t>
    </rPh>
    <rPh sb="27" eb="29">
      <t>バアイ</t>
    </rPh>
    <rPh sb="31" eb="33">
      <t>ソウトウ</t>
    </rPh>
    <phoneticPr fontId="1"/>
  </si>
  <si>
    <r>
      <t>L</t>
    </r>
    <r>
      <rPr>
        <vertAlign val="subscript"/>
        <sz val="11"/>
        <color theme="1"/>
        <rFont val="ＭＳ Ｐゴシック"/>
        <family val="3"/>
        <charset val="128"/>
        <scheme val="minor"/>
      </rPr>
      <t>J</t>
    </r>
    <phoneticPr fontId="1"/>
  </si>
  <si>
    <r>
      <t>K</t>
    </r>
    <r>
      <rPr>
        <vertAlign val="subscript"/>
        <sz val="11"/>
        <color theme="1"/>
        <rFont val="ＭＳ Ｐゴシック"/>
        <family val="3"/>
        <charset val="128"/>
        <scheme val="minor"/>
      </rPr>
      <t>sJ</t>
    </r>
    <phoneticPr fontId="1"/>
  </si>
  <si>
    <r>
      <rPr>
        <i/>
        <sz val="11"/>
        <color theme="1"/>
        <rFont val="ＭＳ Ｐゴシック"/>
        <family val="3"/>
        <charset val="128"/>
        <scheme val="minor"/>
      </rPr>
      <t>L</t>
    </r>
    <r>
      <rPr>
        <vertAlign val="subscript"/>
        <sz val="11"/>
        <color theme="1"/>
        <rFont val="ＭＳ Ｐゴシック"/>
        <family val="3"/>
        <charset val="128"/>
        <scheme val="minor"/>
      </rPr>
      <t>J</t>
    </r>
    <r>
      <rPr>
        <sz val="11"/>
        <color theme="1"/>
        <rFont val="ＭＳ Ｐゴシック"/>
        <family val="2"/>
        <charset val="128"/>
        <scheme val="minor"/>
      </rPr>
      <t>/</t>
    </r>
    <r>
      <rPr>
        <i/>
        <sz val="11"/>
        <color theme="1"/>
        <rFont val="ＭＳ Ｐゴシック"/>
        <family val="3"/>
        <charset val="128"/>
        <scheme val="minor"/>
      </rPr>
      <t>K</t>
    </r>
    <r>
      <rPr>
        <vertAlign val="subscript"/>
        <sz val="11"/>
        <color theme="1"/>
        <rFont val="ＭＳ Ｐゴシック"/>
        <family val="3"/>
        <charset val="128"/>
        <scheme val="minor"/>
      </rPr>
      <t>sJ</t>
    </r>
    <phoneticPr fontId="1"/>
  </si>
  <si>
    <t>S</t>
    <phoneticPr fontId="1"/>
  </si>
  <si>
    <r>
      <rPr>
        <i/>
        <sz val="11"/>
        <color theme="1"/>
        <rFont val="ＭＳ Ｐゴシック"/>
        <family val="3"/>
        <charset val="128"/>
        <scheme val="minor"/>
      </rPr>
      <t>K</t>
    </r>
    <r>
      <rPr>
        <vertAlign val="subscript"/>
        <sz val="11"/>
        <color theme="1"/>
        <rFont val="ＭＳ Ｐゴシック"/>
        <family val="3"/>
        <charset val="128"/>
        <scheme val="minor"/>
      </rPr>
      <t>eff</t>
    </r>
    <phoneticPr fontId="1"/>
  </si>
  <si>
    <t>depth (cm)</t>
    <phoneticPr fontId="1"/>
  </si>
  <si>
    <t>透水係数の異なる多数の層からなる飽和土について、地表から任意の深さまで有効透水係数を考えた場合</t>
    <rPh sb="0" eb="2">
      <t>トウスイ</t>
    </rPh>
    <rPh sb="2" eb="4">
      <t>ケイスウ</t>
    </rPh>
    <rPh sb="5" eb="6">
      <t>コト</t>
    </rPh>
    <rPh sb="8" eb="10">
      <t>タスウ</t>
    </rPh>
    <rPh sb="11" eb="12">
      <t>ソウ</t>
    </rPh>
    <rPh sb="16" eb="18">
      <t>ホウワ</t>
    </rPh>
    <rPh sb="18" eb="19">
      <t>ツチ</t>
    </rPh>
    <rPh sb="24" eb="26">
      <t>チヒョウ</t>
    </rPh>
    <rPh sb="28" eb="30">
      <t>ニンイ</t>
    </rPh>
    <rPh sb="31" eb="32">
      <t>フカ</t>
    </rPh>
    <rPh sb="35" eb="37">
      <t>ユウコウ</t>
    </rPh>
    <rPh sb="37" eb="39">
      <t>トウスイ</t>
    </rPh>
    <rPh sb="39" eb="41">
      <t>ケイスウ</t>
    </rPh>
    <rPh sb="42" eb="43">
      <t>カンガ</t>
    </rPh>
    <rPh sb="45" eb="47">
      <t>バアイ</t>
    </rPh>
    <phoneticPr fontId="1"/>
  </si>
  <si>
    <t>考慮する層の数（土壌断面の深さ）が異なると有効透水係数がどのように変化するか確認出来ます。</t>
    <rPh sb="0" eb="2">
      <t>コウリョ</t>
    </rPh>
    <rPh sb="4" eb="5">
      <t>ソウ</t>
    </rPh>
    <rPh sb="6" eb="7">
      <t>カズ</t>
    </rPh>
    <rPh sb="8" eb="10">
      <t>ドジョウ</t>
    </rPh>
    <rPh sb="10" eb="12">
      <t>ダンメン</t>
    </rPh>
    <rPh sb="13" eb="14">
      <t>フカ</t>
    </rPh>
    <rPh sb="17" eb="18">
      <t>コト</t>
    </rPh>
    <rPh sb="21" eb="23">
      <t>ユウコウ</t>
    </rPh>
    <rPh sb="23" eb="25">
      <t>トウスイ</t>
    </rPh>
    <rPh sb="25" eb="27">
      <t>ケイスウ</t>
    </rPh>
    <rPh sb="33" eb="35">
      <t>ヘンカ</t>
    </rPh>
    <rPh sb="38" eb="42">
      <t>カクニンデキ</t>
    </rPh>
    <phoneticPr fontId="1"/>
  </si>
</sst>
</file>

<file path=xl/styles.xml><?xml version="1.0" encoding="utf-8"?>
<styleSheet xmlns="http://schemas.openxmlformats.org/spreadsheetml/2006/main">
  <numFmts count="4">
    <numFmt numFmtId="176" formatCode="0.00_ "/>
    <numFmt numFmtId="177" formatCode="0.0_ "/>
    <numFmt numFmtId="178" formatCode="0.00_);[Red]\(0.00\)"/>
    <numFmt numFmtId="179" formatCode="0_ "/>
  </numFmts>
  <fonts count="32">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color theme="1"/>
      <name val="ＭＳ Ｐゴシック"/>
      <family val="3"/>
      <charset val="128"/>
      <scheme val="minor"/>
    </font>
    <font>
      <vertAlign val="subscript"/>
      <sz val="11"/>
      <color theme="1"/>
      <name val="ＭＳ Ｐゴシック"/>
      <family val="3"/>
      <charset val="128"/>
      <scheme val="minor"/>
    </font>
    <font>
      <b/>
      <sz val="16"/>
      <color theme="1"/>
      <name val="ＭＳ Ｐゴシック"/>
      <family val="3"/>
      <charset val="128"/>
      <scheme val="minor"/>
    </font>
    <font>
      <i/>
      <sz val="11"/>
      <color theme="1"/>
      <name val="ＭＳ Ｐゴシック"/>
      <family val="3"/>
      <charset val="128"/>
      <scheme val="minor"/>
    </font>
    <font>
      <b/>
      <sz val="11"/>
      <color theme="1"/>
      <name val="ＭＳ Ｐゴシック"/>
      <family val="3"/>
      <charset val="128"/>
      <scheme val="minor"/>
    </font>
    <font>
      <sz val="11"/>
      <color theme="0"/>
      <name val="ＭＳ Ｐゴシック"/>
      <family val="2"/>
      <charset val="128"/>
      <scheme val="minor"/>
    </font>
    <font>
      <sz val="11"/>
      <color theme="1"/>
      <name val="Symbol"/>
      <family val="1"/>
      <charset val="2"/>
    </font>
    <font>
      <sz val="11"/>
      <name val="ＭＳ Ｐゴシック"/>
      <family val="3"/>
      <charset val="128"/>
      <scheme val="minor"/>
    </font>
    <font>
      <i/>
      <sz val="11"/>
      <name val="ＭＳ Ｐゴシック"/>
      <family val="3"/>
      <charset val="128"/>
      <scheme val="minor"/>
    </font>
    <font>
      <vertAlign val="subscript"/>
      <sz val="11"/>
      <name val="ＭＳ Ｐゴシック"/>
      <family val="3"/>
      <charset val="128"/>
      <scheme val="minor"/>
    </font>
    <font>
      <sz val="11"/>
      <color theme="0"/>
      <name val="ＭＳ Ｐゴシック"/>
      <family val="3"/>
      <charset val="128"/>
      <scheme val="minor"/>
    </font>
    <font>
      <sz val="9"/>
      <name val="MS UI Gothic"/>
      <family val="3"/>
      <charset val="128"/>
    </font>
    <font>
      <sz val="11"/>
      <color theme="1"/>
      <name val="ＭＳ Ｐゴシック"/>
      <family val="1"/>
      <charset val="2"/>
      <scheme val="minor"/>
    </font>
    <font>
      <b/>
      <i/>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Times New Roman"/>
      <family val="1"/>
    </font>
    <font>
      <sz val="11"/>
      <color theme="1"/>
      <name val="ＭＳ Ｐゴシック"/>
      <family val="3"/>
      <charset val="128"/>
      <scheme val="major"/>
    </font>
    <font>
      <i/>
      <sz val="11"/>
      <color theme="1"/>
      <name val="ＭＳ Ｐゴシック"/>
      <family val="3"/>
      <charset val="128"/>
      <scheme val="major"/>
    </font>
    <font>
      <vertAlign val="subscript"/>
      <sz val="11"/>
      <color theme="1"/>
      <name val="ＭＳ Ｐゴシック"/>
      <family val="3"/>
      <charset val="128"/>
      <scheme val="major"/>
    </font>
    <font>
      <sz val="11"/>
      <color theme="1"/>
      <name val="Times New Roman"/>
      <family val="1"/>
    </font>
    <font>
      <sz val="11"/>
      <color theme="1"/>
      <name val="ＭＳ Ｐ明朝"/>
      <family val="1"/>
      <charset val="128"/>
    </font>
    <font>
      <b/>
      <sz val="11"/>
      <color theme="1"/>
      <name val="ＭＳ Ｐ明朝"/>
      <family val="1"/>
      <charset val="128"/>
    </font>
    <font>
      <vertAlign val="superscript"/>
      <sz val="11"/>
      <color theme="1"/>
      <name val="Times New Roman"/>
      <family val="1"/>
    </font>
    <font>
      <i/>
      <sz val="11"/>
      <color theme="1"/>
      <name val="Times New Roman"/>
      <family val="1"/>
    </font>
    <font>
      <b/>
      <sz val="11"/>
      <color theme="1"/>
      <name val="Times New Roman"/>
      <family val="1"/>
    </font>
    <font>
      <i/>
      <sz val="11"/>
      <color theme="1"/>
      <name val="ＭＳ Ｐ明朝"/>
      <family val="1"/>
      <charset val="128"/>
    </font>
    <font>
      <vertAlign val="superscript"/>
      <sz val="11"/>
      <color theme="1"/>
      <name val="ＭＳ Ｐゴシック"/>
      <family val="3"/>
      <charset val="128"/>
    </font>
    <font>
      <vertAlign val="superscript"/>
      <sz val="11"/>
      <color theme="1"/>
      <name val="Symbol"/>
      <family val="1"/>
      <charset val="2"/>
    </font>
    <font>
      <i/>
      <sz val="11"/>
      <color theme="1"/>
      <name val="Symbol"/>
      <family val="1"/>
      <charset val="2"/>
    </font>
  </fonts>
  <fills count="15">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FFCC"/>
        <bgColor indexed="64"/>
      </patternFill>
    </fill>
    <fill>
      <patternFill patternType="lightUp">
        <fgColor rgb="FFFFFF00"/>
        <bgColor auto="1"/>
      </patternFill>
    </fill>
    <fill>
      <patternFill patternType="lightUp">
        <fgColor rgb="FF00B050"/>
        <bgColor auto="1"/>
      </patternFill>
    </fill>
    <fill>
      <patternFill patternType="lightUp">
        <fgColor rgb="FFFFC000"/>
        <bgColor auto="1"/>
      </patternFill>
    </fill>
    <fill>
      <patternFill patternType="solid">
        <fgColor theme="9" tint="0.79998168889431442"/>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bottom/>
      <diagonal/>
    </border>
    <border>
      <left style="medium">
        <color auto="1"/>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0">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center" vertical="center"/>
    </xf>
    <xf numFmtId="0" fontId="5" fillId="0" borderId="0" xfId="0" applyFont="1">
      <alignment vertical="center"/>
    </xf>
    <xf numFmtId="0" fontId="0" fillId="0" borderId="3" xfId="0" applyBorder="1" applyAlignment="1">
      <alignment horizontal="center" vertical="center"/>
    </xf>
    <xf numFmtId="0" fontId="7" fillId="0" borderId="0" xfId="0" applyFont="1">
      <alignment vertical="center"/>
    </xf>
    <xf numFmtId="0" fontId="0" fillId="0" borderId="0" xfId="0" applyFill="1">
      <alignment vertical="center"/>
    </xf>
    <xf numFmtId="0" fontId="0" fillId="0" borderId="0" xfId="0" applyFill="1" applyAlignment="1">
      <alignment horizontal="left"/>
    </xf>
    <xf numFmtId="0" fontId="0" fillId="0" borderId="3" xfId="0" applyFill="1" applyBorder="1" applyAlignment="1">
      <alignment horizontal="center" vertical="center"/>
    </xf>
    <xf numFmtId="0" fontId="3" fillId="5" borderId="4" xfId="0" applyFont="1" applyFill="1" applyBorder="1" applyAlignment="1">
      <alignment horizontal="center" vertical="center"/>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8" fillId="0" borderId="0" xfId="0" applyFont="1">
      <alignment vertical="center"/>
    </xf>
    <xf numFmtId="178" fontId="8" fillId="0" borderId="0" xfId="0" applyNumberFormat="1" applyFont="1">
      <alignment vertical="center"/>
    </xf>
    <xf numFmtId="0" fontId="3" fillId="5" borderId="0" xfId="0" applyFont="1" applyFill="1">
      <alignment vertical="center"/>
    </xf>
    <xf numFmtId="0" fontId="0" fillId="5" borderId="0" xfId="0" applyFill="1">
      <alignment vertical="center"/>
    </xf>
    <xf numFmtId="0" fontId="10" fillId="5" borderId="0" xfId="0" applyFont="1" applyFill="1" applyAlignment="1">
      <alignment horizontal="right" vertical="center"/>
    </xf>
    <xf numFmtId="0" fontId="0" fillId="5" borderId="0" xfId="0" applyFill="1" applyAlignment="1">
      <alignment horizontal="center" vertical="center"/>
    </xf>
    <xf numFmtId="176" fontId="0" fillId="0" borderId="0" xfId="0" applyNumberFormat="1" applyAlignment="1">
      <alignment horizontal="center" vertical="center"/>
    </xf>
    <xf numFmtId="176" fontId="0" fillId="5" borderId="0" xfId="0" applyNumberFormat="1" applyFill="1" applyAlignment="1">
      <alignment horizontal="center" vertical="center"/>
    </xf>
    <xf numFmtId="0" fontId="3" fillId="5" borderId="0" xfId="0" applyFont="1" applyFill="1" applyAlignment="1">
      <alignment vertical="center"/>
    </xf>
    <xf numFmtId="0" fontId="0" fillId="0" borderId="0" xfId="0" applyAlignment="1">
      <alignment horizontal="right" vertical="center"/>
    </xf>
    <xf numFmtId="0" fontId="3"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3" fillId="0" borderId="0" xfId="0" applyFont="1" applyAlignment="1">
      <alignment horizontal="center" vertical="center"/>
    </xf>
    <xf numFmtId="177" fontId="0" fillId="5" borderId="0" xfId="0" applyNumberFormat="1" applyFill="1" applyAlignment="1">
      <alignment horizontal="center" vertical="center"/>
    </xf>
    <xf numFmtId="177" fontId="0" fillId="0" borderId="0" xfId="0" applyNumberFormat="1" applyAlignment="1">
      <alignment horizontal="center" vertical="center"/>
    </xf>
    <xf numFmtId="0" fontId="8" fillId="0" borderId="0" xfId="0" applyFont="1" applyFill="1" applyAlignment="1">
      <alignment vertical="center"/>
    </xf>
    <xf numFmtId="0" fontId="13" fillId="0" borderId="0" xfId="0" applyFont="1" applyFill="1">
      <alignment vertical="center"/>
    </xf>
    <xf numFmtId="0" fontId="0" fillId="0" borderId="0" xfId="0" applyFill="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top"/>
    </xf>
    <xf numFmtId="176" fontId="0" fillId="0" borderId="0" xfId="0" applyNumberFormat="1">
      <alignment vertical="center"/>
    </xf>
    <xf numFmtId="0" fontId="3" fillId="0" borderId="0" xfId="0" applyFont="1" applyAlignment="1">
      <alignment horizontal="left" vertical="center"/>
    </xf>
    <xf numFmtId="0" fontId="0" fillId="5" borderId="0" xfId="0" applyFill="1" applyBorder="1" applyAlignment="1">
      <alignment horizontal="center"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8" xfId="0" applyBorder="1">
      <alignment vertical="center"/>
    </xf>
    <xf numFmtId="2" fontId="0" fillId="0" borderId="0" xfId="0" applyNumberFormat="1" applyFill="1" applyBorder="1" applyAlignment="1">
      <alignment horizontal="center" vertical="center"/>
    </xf>
    <xf numFmtId="176" fontId="0" fillId="0" borderId="0" xfId="0" applyNumberFormat="1" applyBorder="1">
      <alignment vertical="center"/>
    </xf>
    <xf numFmtId="179" fontId="0" fillId="0" borderId="8" xfId="0" applyNumberFormat="1" applyBorder="1">
      <alignment vertical="center"/>
    </xf>
    <xf numFmtId="0" fontId="3" fillId="0" borderId="0" xfId="0" applyFont="1" applyAlignment="1">
      <alignment horizontal="left" vertical="top"/>
    </xf>
    <xf numFmtId="176" fontId="0" fillId="0" borderId="8" xfId="0" applyNumberFormat="1" applyBorder="1">
      <alignment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3" xfId="0" applyBorder="1">
      <alignment vertical="center"/>
    </xf>
    <xf numFmtId="0" fontId="0" fillId="5" borderId="3" xfId="0" applyFill="1" applyBorder="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0" fillId="2" borderId="11"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0" fillId="5" borderId="5" xfId="0" applyFill="1" applyBorder="1">
      <alignment vertical="center"/>
    </xf>
    <xf numFmtId="176" fontId="0" fillId="5" borderId="0" xfId="0" applyNumberFormat="1" applyFill="1" applyBorder="1" applyAlignment="1">
      <alignment horizontal="center" vertical="center"/>
    </xf>
    <xf numFmtId="0" fontId="0" fillId="5" borderId="0" xfId="0" applyFill="1" applyBorder="1">
      <alignment vertical="center"/>
    </xf>
    <xf numFmtId="0" fontId="9" fillId="0" borderId="4" xfId="0" applyFont="1" applyBorder="1" applyAlignment="1">
      <alignment horizontal="center" vertical="center"/>
    </xf>
    <xf numFmtId="177" fontId="0" fillId="0" borderId="0" xfId="0" applyNumberFormat="1" applyBorder="1" applyAlignment="1">
      <alignment horizontal="center" vertical="center"/>
    </xf>
    <xf numFmtId="176" fontId="0" fillId="0" borderId="3" xfId="0" applyNumberFormat="1" applyBorder="1" applyAlignment="1">
      <alignment horizontal="center" vertical="center"/>
    </xf>
    <xf numFmtId="0" fontId="0" fillId="0" borderId="5" xfId="0" applyBorder="1">
      <alignment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0" fillId="0" borderId="0" xfId="0" quotePrefix="1" applyBorder="1" applyAlignment="1">
      <alignment horizontal="center" vertical="center"/>
    </xf>
    <xf numFmtId="0" fontId="0" fillId="5" borderId="4" xfId="0" applyFill="1" applyBorder="1" applyAlignment="1">
      <alignment horizontal="center" vertical="center"/>
    </xf>
    <xf numFmtId="178" fontId="0" fillId="0" borderId="0" xfId="0" applyNumberFormat="1" applyAlignment="1">
      <alignment horizontal="center" vertical="center"/>
    </xf>
    <xf numFmtId="176" fontId="0" fillId="0" borderId="8" xfId="0" applyNumberFormat="1" applyBorder="1" applyAlignment="1">
      <alignment horizontal="center" vertical="center"/>
    </xf>
    <xf numFmtId="0" fontId="0" fillId="0" borderId="3" xfId="0" quotePrefix="1" applyBorder="1">
      <alignment vertical="center"/>
    </xf>
    <xf numFmtId="0" fontId="0" fillId="0" borderId="3" xfId="0" quotePrefix="1" applyBorder="1" applyAlignment="1">
      <alignment horizontal="center" vertical="center"/>
    </xf>
    <xf numFmtId="0" fontId="6" fillId="0" borderId="5" xfId="0" applyFont="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6" fillId="5" borderId="5" xfId="0" applyFont="1" applyFill="1" applyBorder="1" applyAlignment="1">
      <alignment horizontal="center" vertical="center"/>
    </xf>
    <xf numFmtId="0" fontId="22" fillId="0" borderId="0" xfId="0" applyFont="1">
      <alignment vertical="center"/>
    </xf>
    <xf numFmtId="0" fontId="22" fillId="0" borderId="0" xfId="0" applyFont="1" applyAlignment="1">
      <alignment vertical="center" wrapText="1"/>
    </xf>
    <xf numFmtId="0" fontId="22" fillId="0" borderId="8" xfId="0" applyFont="1" applyBorder="1">
      <alignment vertical="center"/>
    </xf>
    <xf numFmtId="0" fontId="22" fillId="0" borderId="0" xfId="0" applyFont="1" applyBorder="1">
      <alignment vertical="center"/>
    </xf>
    <xf numFmtId="0" fontId="24" fillId="0" borderId="0" xfId="0" applyFont="1">
      <alignment vertical="center"/>
    </xf>
    <xf numFmtId="0" fontId="23" fillId="0" borderId="0" xfId="0" applyFont="1" applyBorder="1">
      <alignment vertical="center"/>
    </xf>
    <xf numFmtId="0" fontId="23" fillId="10" borderId="0" xfId="0" applyFont="1" applyFill="1">
      <alignment vertical="center"/>
    </xf>
    <xf numFmtId="0" fontId="22" fillId="10" borderId="0" xfId="0" applyFont="1" applyFill="1">
      <alignment vertical="center"/>
    </xf>
    <xf numFmtId="0" fontId="22" fillId="10" borderId="0" xfId="0" applyFont="1" applyFill="1" applyAlignment="1">
      <alignment vertical="center" wrapText="1"/>
    </xf>
    <xf numFmtId="0" fontId="0" fillId="9" borderId="0" xfId="0" applyFill="1">
      <alignment vertical="center"/>
    </xf>
    <xf numFmtId="0" fontId="0" fillId="10" borderId="0" xfId="0" applyFill="1">
      <alignment vertical="center"/>
    </xf>
    <xf numFmtId="0" fontId="0" fillId="10" borderId="0" xfId="0" quotePrefix="1" applyFill="1">
      <alignment vertical="center"/>
    </xf>
    <xf numFmtId="0" fontId="22" fillId="0" borderId="0" xfId="0" applyFont="1" applyAlignment="1">
      <alignment vertical="center"/>
    </xf>
    <xf numFmtId="0" fontId="22" fillId="0" borderId="0" xfId="0" applyFont="1" applyAlignment="1">
      <alignment horizontal="center" vertical="center"/>
    </xf>
    <xf numFmtId="0" fontId="26" fillId="0" borderId="0" xfId="0" applyFont="1" applyAlignment="1">
      <alignment horizontal="center" vertical="center"/>
    </xf>
    <xf numFmtId="0" fontId="0" fillId="0" borderId="0" xfId="0" applyFill="1" applyBorder="1" applyAlignment="1">
      <alignment horizontal="center" vertical="center"/>
    </xf>
    <xf numFmtId="0" fontId="27" fillId="0" borderId="0" xfId="0" applyFont="1">
      <alignment vertical="center"/>
    </xf>
    <xf numFmtId="0" fontId="22" fillId="0" borderId="3" xfId="0" applyFont="1" applyBorder="1">
      <alignment vertical="center"/>
    </xf>
    <xf numFmtId="0" fontId="22" fillId="11" borderId="16" xfId="0" applyFont="1" applyFill="1" applyBorder="1">
      <alignment vertical="center"/>
    </xf>
    <xf numFmtId="0" fontId="22" fillId="12" borderId="18" xfId="0" applyFont="1" applyFill="1" applyBorder="1">
      <alignment vertical="center"/>
    </xf>
    <xf numFmtId="0" fontId="22" fillId="13" borderId="18" xfId="0" applyFont="1" applyFill="1" applyBorder="1">
      <alignment vertical="center"/>
    </xf>
    <xf numFmtId="0" fontId="23" fillId="0" borderId="0" xfId="0" applyFont="1">
      <alignment vertical="center"/>
    </xf>
    <xf numFmtId="0" fontId="9" fillId="0" borderId="0" xfId="0" applyFont="1" applyAlignment="1">
      <alignment horizontal="center" vertical="center"/>
    </xf>
    <xf numFmtId="0" fontId="22" fillId="11" borderId="15" xfId="0" applyFont="1" applyFill="1" applyBorder="1" applyAlignment="1">
      <alignment horizontal="center" vertical="center"/>
    </xf>
    <xf numFmtId="0" fontId="22" fillId="12" borderId="17" xfId="0" applyFont="1" applyFill="1" applyBorder="1" applyAlignment="1">
      <alignment horizontal="center" vertical="center"/>
    </xf>
    <xf numFmtId="0" fontId="22" fillId="13" borderId="17" xfId="0" applyFont="1" applyFill="1" applyBorder="1" applyAlignment="1">
      <alignment horizontal="center" vertical="center"/>
    </xf>
    <xf numFmtId="0" fontId="27" fillId="11" borderId="4" xfId="0" applyFont="1" applyFill="1" applyBorder="1" applyAlignment="1">
      <alignment horizontal="center" vertical="center"/>
    </xf>
    <xf numFmtId="0" fontId="27" fillId="12" borderId="3" xfId="0" applyFont="1" applyFill="1" applyBorder="1" applyAlignment="1">
      <alignment horizontal="center" vertical="center"/>
    </xf>
    <xf numFmtId="0" fontId="27" fillId="13" borderId="3" xfId="0" applyFont="1" applyFill="1" applyBorder="1" applyAlignment="1">
      <alignment horizontal="center" vertical="center"/>
    </xf>
    <xf numFmtId="176" fontId="22" fillId="0" borderId="0" xfId="0" applyNumberFormat="1" applyFont="1" applyAlignment="1">
      <alignment horizontal="center" vertical="center"/>
    </xf>
    <xf numFmtId="0" fontId="22" fillId="0" borderId="0" xfId="0" applyFont="1" applyAlignment="1">
      <alignment horizontal="right" vertical="center"/>
    </xf>
    <xf numFmtId="0" fontId="0" fillId="0" borderId="0" xfId="0"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21" xfId="0" applyFill="1" applyBorder="1" applyAlignment="1">
      <alignment vertical="center"/>
    </xf>
    <xf numFmtId="0" fontId="0" fillId="6" borderId="22" xfId="0" applyFill="1" applyBorder="1" applyAlignment="1">
      <alignment vertical="center"/>
    </xf>
    <xf numFmtId="2" fontId="0" fillId="0" borderId="0" xfId="0" applyNumberForma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right" vertical="center"/>
    </xf>
    <xf numFmtId="0" fontId="3" fillId="0" borderId="5" xfId="0" applyFont="1" applyBorder="1">
      <alignment vertical="center"/>
    </xf>
    <xf numFmtId="0" fontId="3" fillId="0" borderId="8" xfId="0" applyFont="1" applyBorder="1" applyAlignment="1">
      <alignment horizontal="right" vertical="center"/>
    </xf>
    <xf numFmtId="2" fontId="0" fillId="0" borderId="8" xfId="0" applyNumberFormat="1" applyBorder="1" applyAlignment="1">
      <alignment horizontal="center" vertical="center"/>
    </xf>
    <xf numFmtId="0" fontId="3" fillId="0" borderId="8" xfId="0" applyFont="1" applyBorder="1">
      <alignment vertical="center"/>
    </xf>
    <xf numFmtId="20" fontId="0" fillId="0" borderId="0" xfId="0" quotePrefix="1" applyNumberFormat="1" applyFill="1" applyBorder="1" applyAlignment="1">
      <alignment horizontal="center" vertical="center"/>
    </xf>
    <xf numFmtId="0" fontId="0" fillId="0" borderId="8" xfId="0" applyBorder="1" applyAlignment="1">
      <alignment horizontal="right" vertical="center"/>
    </xf>
    <xf numFmtId="0" fontId="0" fillId="0" borderId="0" xfId="0"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10" borderId="0" xfId="0" applyFill="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pplyAlignment="1">
      <alignment horizontal="left" vertical="center"/>
    </xf>
    <xf numFmtId="178" fontId="0" fillId="0" borderId="0" xfId="0" applyNumberFormat="1" applyFill="1" applyBorder="1" applyAlignment="1">
      <alignment horizontal="center"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5" borderId="5" xfId="0" applyFill="1" applyBorder="1" applyAlignment="1">
      <alignment horizontal="center" vertical="center"/>
    </xf>
    <xf numFmtId="0" fontId="0" fillId="6" borderId="0" xfId="0" applyFill="1" applyAlignment="1">
      <alignment horizontal="center" vertical="center"/>
    </xf>
    <xf numFmtId="0" fontId="0" fillId="0" borderId="7" xfId="0"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0" fillId="7" borderId="6" xfId="0" applyFill="1" applyBorder="1" applyAlignment="1">
      <alignment horizontal="center" vertical="center"/>
    </xf>
    <xf numFmtId="0" fontId="0" fillId="8" borderId="6" xfId="0" applyFill="1" applyBorder="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22" fillId="0" borderId="0" xfId="0" applyFont="1" applyAlignment="1">
      <alignment vertical="center" wrapText="1"/>
    </xf>
    <xf numFmtId="0" fontId="22" fillId="9" borderId="0" xfId="0" applyFont="1" applyFill="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14" borderId="22" xfId="0" applyFill="1" applyBorder="1" applyAlignment="1">
      <alignment horizontal="center" vertical="center"/>
    </xf>
    <xf numFmtId="0" fontId="0" fillId="14" borderId="20" xfId="0" applyFill="1" applyBorder="1" applyAlignment="1">
      <alignment horizontal="center" vertical="center"/>
    </xf>
    <xf numFmtId="0" fontId="0" fillId="0" borderId="0" xfId="0" applyAlignment="1">
      <alignment horizontal="center" vertical="center"/>
    </xf>
    <xf numFmtId="0" fontId="0" fillId="6"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10.xml><?xml version="1.0" encoding="utf-8"?>
<ax:ocx xmlns:ax="http://schemas.microsoft.com/office/2006/activeX" xmlns:r="http://schemas.openxmlformats.org/officeDocument/2006/relationships" ax:classid="{DFD181E0-5E2F-11CE-A449-00AA004A803D}" ax:persistence="persistStreamInit" r:id="rId1"/>
</file>

<file path=xl/activeX/activeX11.xml><?xml version="1.0" encoding="utf-8"?>
<ax:ocx xmlns:ax="http://schemas.microsoft.com/office/2006/activeX" xmlns:r="http://schemas.openxmlformats.org/officeDocument/2006/relationships" ax:classid="{DFD181E0-5E2F-11CE-A449-00AA004A803D}" ax:persistence="persistStreamInit" r:id="rId1"/>
</file>

<file path=xl/activeX/activeX12.xml><?xml version="1.0" encoding="utf-8"?>
<ax:ocx xmlns:ax="http://schemas.microsoft.com/office/2006/activeX" xmlns:r="http://schemas.openxmlformats.org/officeDocument/2006/relationships" ax:classid="{DFD181E0-5E2F-11CE-A449-00AA004A803D}" ax:persistence="persistStreamInit" r:id="rId1"/>
</file>

<file path=xl/activeX/activeX13.xml><?xml version="1.0" encoding="utf-8"?>
<ax:ocx xmlns:ax="http://schemas.microsoft.com/office/2006/activeX" xmlns:r="http://schemas.openxmlformats.org/officeDocument/2006/relationships" ax:classid="{DFD181E0-5E2F-11CE-A449-00AA004A803D}" ax:persistence="persistStreamInit" r:id="rId1"/>
</file>

<file path=xl/activeX/activeX14.xml><?xml version="1.0" encoding="utf-8"?>
<ax:ocx xmlns:ax="http://schemas.microsoft.com/office/2006/activeX" xmlns:r="http://schemas.openxmlformats.org/officeDocument/2006/relationships" ax:classid="{DFD181E0-5E2F-11CE-A449-00AA004A803D}" ax:persistence="persistStreamInit" r:id="rId1"/>
</file>

<file path=xl/activeX/activeX15.xml><?xml version="1.0" encoding="utf-8"?>
<ax:ocx xmlns:ax="http://schemas.microsoft.com/office/2006/activeX" xmlns:r="http://schemas.openxmlformats.org/officeDocument/2006/relationships" ax:classid="{DFD181E0-5E2F-11CE-A449-00AA004A803D}" ax:persistence="persistStreamInit" r:id="rId1"/>
</file>

<file path=xl/activeX/activeX16.xml><?xml version="1.0" encoding="utf-8"?>
<ax:ocx xmlns:ax="http://schemas.microsoft.com/office/2006/activeX" xmlns:r="http://schemas.openxmlformats.org/officeDocument/2006/relationships" ax:classid="{DFD181E0-5E2F-11CE-A449-00AA004A803D}" ax:persistence="persistStreamInit" r:id="rId1"/>
</file>

<file path=xl/activeX/activeX17.xml><?xml version="1.0" encoding="utf-8"?>
<ax:ocx xmlns:ax="http://schemas.microsoft.com/office/2006/activeX" xmlns:r="http://schemas.openxmlformats.org/officeDocument/2006/relationships" ax:classid="{DFD181E0-5E2F-11CE-A449-00AA004A803D}" ax:persistence="persistStreamInit" r:id="rId1"/>
</file>

<file path=xl/activeX/activeX18.xml><?xml version="1.0" encoding="utf-8"?>
<ax:ocx xmlns:ax="http://schemas.microsoft.com/office/2006/activeX" xmlns:r="http://schemas.openxmlformats.org/officeDocument/2006/relationships" ax:classid="{DFD181E0-5E2F-11CE-A449-00AA004A803D}" ax:persistence="persistStreamInit" r:id="rId1"/>
</file>

<file path=xl/activeX/activeX19.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20.xml><?xml version="1.0" encoding="utf-8"?>
<ax:ocx xmlns:ax="http://schemas.microsoft.com/office/2006/activeX" xmlns:r="http://schemas.openxmlformats.org/officeDocument/2006/relationships" ax:classid="{DFD181E0-5E2F-11CE-A449-00AA004A803D}" ax:persistence="persistStreamInit" r:id="rId1"/>
</file>

<file path=xl/activeX/activeX21.xml><?xml version="1.0" encoding="utf-8"?>
<ax:ocx xmlns:ax="http://schemas.microsoft.com/office/2006/activeX" xmlns:r="http://schemas.openxmlformats.org/officeDocument/2006/relationships" ax:classid="{DFD181E0-5E2F-11CE-A449-00AA004A803D}" ax:persistence="persistStreamInit" r:id="rId1"/>
</file>

<file path=xl/activeX/activeX22.xml><?xml version="1.0" encoding="utf-8"?>
<ax:ocx xmlns:ax="http://schemas.microsoft.com/office/2006/activeX" xmlns:r="http://schemas.openxmlformats.org/officeDocument/2006/relationships" ax:classid="{DFD181E0-5E2F-11CE-A449-00AA004A803D}" ax:persistence="persistStreamInit" r:id="rId1"/>
</file>

<file path=xl/activeX/activeX23.xml><?xml version="1.0" encoding="utf-8"?>
<ax:ocx xmlns:ax="http://schemas.microsoft.com/office/2006/activeX" xmlns:r="http://schemas.openxmlformats.org/officeDocument/2006/relationships" ax:classid="{DFD181E0-5E2F-11CE-A449-00AA004A803D}" ax:persistence="persistStreamInit" r:id="rId1"/>
</file>

<file path=xl/activeX/activeX24.xml><?xml version="1.0" encoding="utf-8"?>
<ax:ocx xmlns:ax="http://schemas.microsoft.com/office/2006/activeX" xmlns:r="http://schemas.openxmlformats.org/officeDocument/2006/relationships" ax:classid="{DFD181E0-5E2F-11CE-A449-00AA004A803D}" ax:persistence="persistStreamInit" r:id="rId1"/>
</file>

<file path=xl/activeX/activeX25.xml><?xml version="1.0" encoding="utf-8"?>
<ax:ocx xmlns:ax="http://schemas.microsoft.com/office/2006/activeX" xmlns:r="http://schemas.openxmlformats.org/officeDocument/2006/relationships" ax:classid="{DFD181E0-5E2F-11CE-A449-00AA004A803D}" ax:persistence="persistStreamInit" r:id="rId1"/>
</file>

<file path=xl/activeX/activeX26.xml><?xml version="1.0" encoding="utf-8"?>
<ax:ocx xmlns:ax="http://schemas.microsoft.com/office/2006/activeX" xmlns:r="http://schemas.openxmlformats.org/officeDocument/2006/relationships" ax:classid="{DFD181E0-5E2F-11CE-A449-00AA004A803D}" ax:persistence="persistStreamInit" r:id="rId1"/>
</file>

<file path=xl/activeX/activeX27.xml><?xml version="1.0" encoding="utf-8"?>
<ax:ocx xmlns:ax="http://schemas.microsoft.com/office/2006/activeX" xmlns:r="http://schemas.openxmlformats.org/officeDocument/2006/relationships" ax:classid="{DFD181E0-5E2F-11CE-A449-00AA004A803D}" ax:persistence="persistStreamInit" r:id="rId1"/>
</file>

<file path=xl/activeX/activeX28.xml><?xml version="1.0" encoding="utf-8"?>
<ax:ocx xmlns:ax="http://schemas.microsoft.com/office/2006/activeX" xmlns:r="http://schemas.openxmlformats.org/officeDocument/2006/relationships" ax:classid="{DFD181E0-5E2F-11CE-A449-00AA004A803D}" ax:persistence="persistStreamInit" r:id="rId1"/>
</file>

<file path=xl/activeX/activeX29.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activeX/activeX30.xml><?xml version="1.0" encoding="utf-8"?>
<ax:ocx xmlns:ax="http://schemas.microsoft.com/office/2006/activeX" xmlns:r="http://schemas.openxmlformats.org/officeDocument/2006/relationships" ax:classid="{DFD181E0-5E2F-11CE-A449-00AA004A803D}" ax:persistence="persistStreamInit" r:id="rId1"/>
</file>

<file path=xl/activeX/activeX31.xml><?xml version="1.0" encoding="utf-8"?>
<ax:ocx xmlns:ax="http://schemas.microsoft.com/office/2006/activeX" xmlns:r="http://schemas.openxmlformats.org/officeDocument/2006/relationships" ax:classid="{DFD181E0-5E2F-11CE-A449-00AA004A803D}" ax:persistence="persistStreamInit" r:id="rId1"/>
</file>

<file path=xl/activeX/activeX32.xml><?xml version="1.0" encoding="utf-8"?>
<ax:ocx xmlns:ax="http://schemas.microsoft.com/office/2006/activeX" xmlns:r="http://schemas.openxmlformats.org/officeDocument/2006/relationships" ax:classid="{DFD181E0-5E2F-11CE-A449-00AA004A803D}" ax:persistence="persistStreamInit" r:id="rId1"/>
</file>

<file path=xl/activeX/activeX33.xml><?xml version="1.0" encoding="utf-8"?>
<ax:ocx xmlns:ax="http://schemas.microsoft.com/office/2006/activeX" xmlns:r="http://schemas.openxmlformats.org/officeDocument/2006/relationships" ax:classid="{DFD181E0-5E2F-11CE-A449-00AA004A803D}" ax:persistence="persistStreamInit" r:id="rId1"/>
</file>

<file path=xl/activeX/activeX34.xml><?xml version="1.0" encoding="utf-8"?>
<ax:ocx xmlns:ax="http://schemas.microsoft.com/office/2006/activeX" xmlns:r="http://schemas.openxmlformats.org/officeDocument/2006/relationships" ax:classid="{DFD181E0-5E2F-11CE-A449-00AA004A803D}" ax:persistence="persistStreamInit" r:id="rId1"/>
</file>

<file path=xl/activeX/activeX35.xml><?xml version="1.0" encoding="utf-8"?>
<ax:ocx xmlns:ax="http://schemas.microsoft.com/office/2006/activeX" xmlns:r="http://schemas.openxmlformats.org/officeDocument/2006/relationships" ax:classid="{DFD181E0-5E2F-11CE-A449-00AA004A803D}" ax:persistence="persistStreamInit" r:id="rId1"/>
</file>

<file path=xl/activeX/activeX36.xml><?xml version="1.0" encoding="utf-8"?>
<ax:ocx xmlns:ax="http://schemas.microsoft.com/office/2006/activeX" xmlns:r="http://schemas.openxmlformats.org/officeDocument/2006/relationships" ax:classid="{DFD181E0-5E2F-11CE-A449-00AA004A803D}" ax:persistence="persistStreamInit" r:id="rId1"/>
</file>

<file path=xl/activeX/activeX37.xml><?xml version="1.0" encoding="utf-8"?>
<ax:ocx xmlns:ax="http://schemas.microsoft.com/office/2006/activeX" xmlns:r="http://schemas.openxmlformats.org/officeDocument/2006/relationships" ax:classid="{DFD181E0-5E2F-11CE-A449-00AA004A803D}" ax:persistence="persistStreamInit" r:id="rId1"/>
</file>

<file path=xl/activeX/activeX38.xml><?xml version="1.0" encoding="utf-8"?>
<ax:ocx xmlns:ax="http://schemas.microsoft.com/office/2006/activeX" xmlns:r="http://schemas.openxmlformats.org/officeDocument/2006/relationships" ax:classid="{DFD181E0-5E2F-11CE-A449-00AA004A803D}" ax:persistence="persistStreamInit" r:id="rId1"/>
</file>

<file path=xl/activeX/activeX39.xml><?xml version="1.0" encoding="utf-8"?>
<ax:ocx xmlns:ax="http://schemas.microsoft.com/office/2006/activeX" xmlns:r="http://schemas.openxmlformats.org/officeDocument/2006/relationships" ax:classid="{DFD181E0-5E2F-11CE-A449-00AA004A803D}" ax:persistence="persistStreamInit" r:id="rId1"/>
</file>

<file path=xl/activeX/activeX4.xml><?xml version="1.0" encoding="utf-8"?>
<ax:ocx xmlns:ax="http://schemas.microsoft.com/office/2006/activeX" xmlns:r="http://schemas.openxmlformats.org/officeDocument/2006/relationships" ax:classid="{DFD181E0-5E2F-11CE-A449-00AA004A803D}" ax:persistence="persistStreamInit" r:id="rId1"/>
</file>

<file path=xl/activeX/activeX40.xml><?xml version="1.0" encoding="utf-8"?>
<ax:ocx xmlns:ax="http://schemas.microsoft.com/office/2006/activeX" xmlns:r="http://schemas.openxmlformats.org/officeDocument/2006/relationships" ax:classid="{DFD181E0-5E2F-11CE-A449-00AA004A803D}" ax:persistence="persistStreamInit" r:id="rId1"/>
</file>

<file path=xl/activeX/activeX5.xml><?xml version="1.0" encoding="utf-8"?>
<ax:ocx xmlns:ax="http://schemas.microsoft.com/office/2006/activeX" xmlns:r="http://schemas.openxmlformats.org/officeDocument/2006/relationships" ax:classid="{DFD181E0-5E2F-11CE-A449-00AA004A803D}"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DFD181E0-5E2F-11CE-A449-00AA004A803D}" ax:persistence="persistStreamInit" r:id="rId1"/>
</file>

<file path=xl/activeX/activeX8.xml><?xml version="1.0" encoding="utf-8"?>
<ax:ocx xmlns:ax="http://schemas.microsoft.com/office/2006/activeX" xmlns:r="http://schemas.openxmlformats.org/officeDocument/2006/relationships" ax:classid="{DFD181E0-5E2F-11CE-A449-00AA004A803D}" ax:persistence="persistStreamInit" r:id="rId1"/>
</file>

<file path=xl/activeX/activeX9.xml><?xml version="1.0" encoding="utf-8"?>
<ax:ocx xmlns:ax="http://schemas.microsoft.com/office/2006/activeX" xmlns:r="http://schemas.openxmlformats.org/officeDocument/2006/relationships" ax:classid="{DFD181E0-5E2F-11CE-A449-00AA004A803D}" ax:persistence="persistStreamInit" r:id="rId1"/>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1429104320159376"/>
          <c:y val="3.2642898804316228E-2"/>
          <c:w val="0.70783131208277583"/>
          <c:h val="0.78731837091791879"/>
        </c:manualLayout>
      </c:layout>
      <c:scatterChart>
        <c:scatterStyle val="lineMarker"/>
        <c:ser>
          <c:idx val="0"/>
          <c:order val="0"/>
          <c:spPr>
            <a:ln>
              <a:solidFill>
                <a:schemeClr val="accent1"/>
              </a:solidFill>
            </a:ln>
          </c:spPr>
          <c:xVal>
            <c:numRef>
              <c:f>'1'!$L$35:$L$46</c:f>
              <c:numCache>
                <c:formatCode>General</c:formatCode>
                <c:ptCount val="12"/>
                <c:pt idx="0">
                  <c:v>525</c:v>
                </c:pt>
                <c:pt idx="1">
                  <c:v>237.5</c:v>
                </c:pt>
                <c:pt idx="2">
                  <c:v>122.5</c:v>
                </c:pt>
                <c:pt idx="3">
                  <c:v>50</c:v>
                </c:pt>
                <c:pt idx="4">
                  <c:v>18</c:v>
                </c:pt>
                <c:pt idx="5">
                  <c:v>3</c:v>
                </c:pt>
              </c:numCache>
            </c:numRef>
          </c:xVal>
          <c:yVal>
            <c:numRef>
              <c:f>'1'!$M$35:$M$46</c:f>
              <c:numCache>
                <c:formatCode>General</c:formatCode>
                <c:ptCount val="12"/>
                <c:pt idx="0">
                  <c:v>6.5116279069767441E-2</c:v>
                </c:pt>
                <c:pt idx="1">
                  <c:v>0.44210526315789472</c:v>
                </c:pt>
                <c:pt idx="2">
                  <c:v>0.55999999999999994</c:v>
                </c:pt>
                <c:pt idx="3">
                  <c:v>1.4</c:v>
                </c:pt>
                <c:pt idx="4">
                  <c:v>2.3333333333333335</c:v>
                </c:pt>
                <c:pt idx="5">
                  <c:v>6.9999999999999991</c:v>
                </c:pt>
              </c:numCache>
            </c:numRef>
          </c:yVal>
        </c:ser>
        <c:axId val="88329216"/>
        <c:axId val="106587648"/>
      </c:scatterChart>
      <c:valAx>
        <c:axId val="88329216"/>
        <c:scaling>
          <c:logBase val="10"/>
          <c:orientation val="minMax"/>
          <c:max val="1000"/>
          <c:min val="1"/>
        </c:scaling>
        <c:axPos val="b"/>
        <c:title>
          <c:tx>
            <c:rich>
              <a:bodyPr/>
              <a:lstStyle/>
              <a:p>
                <a:pPr>
                  <a:defRPr/>
                </a:pPr>
                <a:r>
                  <a:rPr lang="ja-JP"/>
                  <a:t>　</a:t>
                </a:r>
                <a:r>
                  <a:rPr lang="en-US" i="1"/>
                  <a:t>h </a:t>
                </a:r>
                <a:r>
                  <a:rPr lang="en-US"/>
                  <a:t>(cm)</a:t>
                </a:r>
                <a:endParaRPr lang="ja-JP"/>
              </a:p>
            </c:rich>
          </c:tx>
          <c:layout>
            <c:manualLayout>
              <c:xMode val="edge"/>
              <c:yMode val="edge"/>
              <c:x val="0.45836220472441042"/>
              <c:y val="0.92129629629629661"/>
            </c:manualLayout>
          </c:layout>
        </c:title>
        <c:numFmt formatCode="General" sourceLinked="1"/>
        <c:majorTickMark val="in"/>
        <c:tickLblPos val="nextTo"/>
        <c:crossAx val="106587648"/>
        <c:crossesAt val="1.0000000000000005E-2"/>
        <c:crossBetween val="midCat"/>
        <c:majorUnit val="10"/>
      </c:valAx>
      <c:valAx>
        <c:axId val="106587648"/>
        <c:scaling>
          <c:logBase val="10"/>
          <c:orientation val="minMax"/>
          <c:max val="10"/>
          <c:min val="1.0000000000000005E-2"/>
        </c:scaling>
        <c:axPos val="l"/>
        <c:title>
          <c:tx>
            <c:rich>
              <a:bodyPr rot="-5400000" vert="horz"/>
              <a:lstStyle/>
              <a:p>
                <a:pPr>
                  <a:defRPr/>
                </a:pPr>
                <a:r>
                  <a:rPr lang="en-US" i="1"/>
                  <a:t>K</a:t>
                </a:r>
                <a:r>
                  <a:rPr lang="en-US"/>
                  <a:t>(</a:t>
                </a:r>
                <a:r>
                  <a:rPr lang="en-US" i="1"/>
                  <a:t>h</a:t>
                </a:r>
                <a:r>
                  <a:rPr lang="en-US"/>
                  <a:t>)  (cm/d)</a:t>
                </a:r>
                <a:endParaRPr lang="ja-JP"/>
              </a:p>
            </c:rich>
          </c:tx>
        </c:title>
        <c:numFmt formatCode="General" sourceLinked="0"/>
        <c:majorTickMark val="in"/>
        <c:tickLblPos val="nextTo"/>
        <c:crossAx val="88329216"/>
        <c:crosses val="autoZero"/>
        <c:crossBetween val="midCat"/>
      </c:valAx>
      <c:spPr>
        <a:noFill/>
        <a:ln>
          <a:solidFill>
            <a:schemeClr val="tx1"/>
          </a:solidFill>
        </a:ln>
      </c:spPr>
    </c:plotArea>
    <c:plotVisOnly val="1"/>
    <c:dispBlanksAs val="gap"/>
  </c:chart>
  <c:spPr>
    <a:ln>
      <a:noFill/>
    </a:ln>
  </c:spPr>
  <c:txPr>
    <a:bodyPr/>
    <a:lstStyle/>
    <a:p>
      <a:pPr>
        <a:defRPr sz="1200"/>
      </a:pPr>
      <a:endParaRPr lang="ja-JP"/>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9945790154977244"/>
          <c:y val="3.8121152595444914E-2"/>
          <c:w val="0.75664556916761461"/>
          <c:h val="0.7734503903954566"/>
        </c:manualLayout>
      </c:layout>
      <c:scatterChart>
        <c:scatterStyle val="lineMarker"/>
        <c:ser>
          <c:idx val="0"/>
          <c:order val="0"/>
          <c:tx>
            <c:v>z</c:v>
          </c:tx>
          <c:xVal>
            <c:numRef>
              <c:f>'6'!$G$72:$G$74</c:f>
              <c:numCache>
                <c:formatCode>0.00_ </c:formatCode>
                <c:ptCount val="3"/>
                <c:pt idx="0" formatCode="General">
                  <c:v>100</c:v>
                </c:pt>
                <c:pt idx="1">
                  <c:v>0.68367517091879271</c:v>
                </c:pt>
                <c:pt idx="2" formatCode="General">
                  <c:v>0</c:v>
                </c:pt>
              </c:numCache>
            </c:numRef>
          </c:xVal>
          <c:yVal>
            <c:numRef>
              <c:f>'6'!$G$72:$G$74</c:f>
              <c:numCache>
                <c:formatCode>0.00_ </c:formatCode>
                <c:ptCount val="3"/>
                <c:pt idx="0" formatCode="General">
                  <c:v>100</c:v>
                </c:pt>
                <c:pt idx="1">
                  <c:v>0.68367517091879271</c:v>
                </c:pt>
                <c:pt idx="2" formatCode="General">
                  <c:v>0</c:v>
                </c:pt>
              </c:numCache>
            </c:numRef>
          </c:yVal>
        </c:ser>
        <c:ser>
          <c:idx val="1"/>
          <c:order val="1"/>
          <c:tx>
            <c:v>p</c:v>
          </c:tx>
          <c:xVal>
            <c:numRef>
              <c:f>'6'!$H$72:$H$74</c:f>
              <c:numCache>
                <c:formatCode>0.00_ </c:formatCode>
                <c:ptCount val="3"/>
                <c:pt idx="0" formatCode="General">
                  <c:v>10</c:v>
                </c:pt>
                <c:pt idx="1">
                  <c:v>101.86760046690013</c:v>
                </c:pt>
                <c:pt idx="2" formatCode="General">
                  <c:v>0</c:v>
                </c:pt>
              </c:numCache>
            </c:numRef>
          </c:xVal>
          <c:yVal>
            <c:numRef>
              <c:f>'6'!$G$72:$G$74</c:f>
              <c:numCache>
                <c:formatCode>0.00_ </c:formatCode>
                <c:ptCount val="3"/>
                <c:pt idx="0" formatCode="General">
                  <c:v>100</c:v>
                </c:pt>
                <c:pt idx="1">
                  <c:v>0.68367517091879271</c:v>
                </c:pt>
                <c:pt idx="2" formatCode="General">
                  <c:v>0</c:v>
                </c:pt>
              </c:numCache>
            </c:numRef>
          </c:yVal>
        </c:ser>
        <c:ser>
          <c:idx val="2"/>
          <c:order val="2"/>
          <c:tx>
            <c:v>H</c:v>
          </c:tx>
          <c:xVal>
            <c:numRef>
              <c:f>'6'!$I$72:$I$74</c:f>
              <c:numCache>
                <c:formatCode>0.00_ </c:formatCode>
                <c:ptCount val="3"/>
                <c:pt idx="0" formatCode="General">
                  <c:v>110</c:v>
                </c:pt>
                <c:pt idx="1">
                  <c:v>102.55127563781892</c:v>
                </c:pt>
                <c:pt idx="2" formatCode="General">
                  <c:v>0</c:v>
                </c:pt>
              </c:numCache>
            </c:numRef>
          </c:xVal>
          <c:yVal>
            <c:numRef>
              <c:f>'6'!$G$72:$G$74</c:f>
              <c:numCache>
                <c:formatCode>0.00_ </c:formatCode>
                <c:ptCount val="3"/>
                <c:pt idx="0" formatCode="General">
                  <c:v>100</c:v>
                </c:pt>
                <c:pt idx="1">
                  <c:v>0.68367517091879271</c:v>
                </c:pt>
                <c:pt idx="2" formatCode="General">
                  <c:v>0</c:v>
                </c:pt>
              </c:numCache>
            </c:numRef>
          </c:yVal>
        </c:ser>
        <c:axId val="106563456"/>
        <c:axId val="106651648"/>
      </c:scatterChart>
      <c:valAx>
        <c:axId val="106563456"/>
        <c:scaling>
          <c:orientation val="minMax"/>
          <c:max val="150"/>
          <c:min val="-150"/>
        </c:scaling>
        <c:axPos val="b"/>
        <c:title>
          <c:tx>
            <c:rich>
              <a:bodyPr/>
              <a:lstStyle/>
              <a:p>
                <a:pPr>
                  <a:defRPr/>
                </a:pPr>
                <a:r>
                  <a:rPr lang="ja-JP"/>
                  <a:t>ポテンシャル水頭　</a:t>
                </a:r>
                <a:r>
                  <a:rPr lang="en-US"/>
                  <a:t>(cm)</a:t>
                </a:r>
                <a:endParaRPr lang="ja-JP"/>
              </a:p>
            </c:rich>
          </c:tx>
          <c:layout>
            <c:manualLayout>
              <c:xMode val="edge"/>
              <c:yMode val="edge"/>
              <c:x val="0.38055110958541638"/>
              <c:y val="0.91203703703703709"/>
            </c:manualLayout>
          </c:layout>
        </c:title>
        <c:numFmt formatCode="General" sourceLinked="1"/>
        <c:tickLblPos val="nextTo"/>
        <c:crossAx val="106651648"/>
        <c:crosses val="autoZero"/>
        <c:crossBetween val="midCat"/>
      </c:valAx>
      <c:valAx>
        <c:axId val="106651648"/>
        <c:scaling>
          <c:orientation val="minMax"/>
          <c:max val="100"/>
          <c:min val="0"/>
        </c:scaling>
        <c:axPos val="l"/>
        <c:title>
          <c:tx>
            <c:rich>
              <a:bodyPr rot="-5400000" vert="horz"/>
              <a:lstStyle/>
              <a:p>
                <a:pPr>
                  <a:defRPr/>
                </a:pPr>
                <a:r>
                  <a:rPr lang="ja-JP"/>
                  <a:t>カラム底面からの高さ</a:t>
                </a:r>
                <a:r>
                  <a:rPr lang="en-US"/>
                  <a:t>(cm)</a:t>
                </a:r>
                <a:endParaRPr lang="ja-JP"/>
              </a:p>
            </c:rich>
          </c:tx>
          <c:layout>
            <c:manualLayout>
              <c:xMode val="edge"/>
              <c:yMode val="edge"/>
              <c:x val="3.2697547683923932E-2"/>
              <c:y val="0.14192330125400993"/>
            </c:manualLayout>
          </c:layout>
        </c:title>
        <c:numFmt formatCode="General" sourceLinked="1"/>
        <c:tickLblPos val="low"/>
        <c:crossAx val="106563456"/>
        <c:crosses val="autoZero"/>
        <c:crossBetween val="midCat"/>
        <c:majorUnit val="20"/>
      </c:valAx>
      <c:spPr>
        <a:ln>
          <a:solidFill>
            <a:schemeClr val="tx1"/>
          </a:solidFill>
        </a:ln>
      </c:spPr>
    </c:plotArea>
    <c:legend>
      <c:legendPos val="r"/>
      <c:layout>
        <c:manualLayout>
          <c:xMode val="edge"/>
          <c:yMode val="edge"/>
          <c:x val="0.21084985759747327"/>
          <c:y val="0.5436553669521148"/>
          <c:w val="0.21666660011898725"/>
          <c:h val="0.25115157480314959"/>
        </c:manualLayout>
      </c:layout>
    </c:legend>
    <c:plotVisOnly val="1"/>
    <c:dispBlanksAs val="gap"/>
  </c:chart>
  <c:spPr>
    <a:ln>
      <a:noFill/>
    </a:ln>
  </c:spPr>
  <c:txPr>
    <a:bodyPr/>
    <a:lstStyle/>
    <a:p>
      <a:pPr>
        <a:defRPr sz="1200"/>
      </a:pPr>
      <a:endParaRPr lang="ja-JP"/>
    </a:p>
  </c:tx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9945790154977244"/>
          <c:y val="3.8121152595444914E-2"/>
          <c:w val="0.75664556916761461"/>
          <c:h val="0.7734503903954566"/>
        </c:manualLayout>
      </c:layout>
      <c:scatterChart>
        <c:scatterStyle val="lineMarker"/>
        <c:ser>
          <c:idx val="0"/>
          <c:order val="0"/>
          <c:tx>
            <c:v>z</c:v>
          </c:tx>
          <c:xVal>
            <c:numRef>
              <c:f>'6'!$P$72:$P$74</c:f>
              <c:numCache>
                <c:formatCode>0.00_ </c:formatCode>
                <c:ptCount val="3"/>
                <c:pt idx="0" formatCode="General">
                  <c:v>100</c:v>
                </c:pt>
                <c:pt idx="1">
                  <c:v>99.316324829081211</c:v>
                </c:pt>
                <c:pt idx="2" formatCode="General">
                  <c:v>0</c:v>
                </c:pt>
              </c:numCache>
            </c:numRef>
          </c:xVal>
          <c:yVal>
            <c:numRef>
              <c:f>'6'!$P$72:$P$74</c:f>
              <c:numCache>
                <c:formatCode>0.00_ </c:formatCode>
                <c:ptCount val="3"/>
                <c:pt idx="0" formatCode="General">
                  <c:v>100</c:v>
                </c:pt>
                <c:pt idx="1">
                  <c:v>99.316324829081211</c:v>
                </c:pt>
                <c:pt idx="2" formatCode="General">
                  <c:v>0</c:v>
                </c:pt>
              </c:numCache>
            </c:numRef>
          </c:yVal>
        </c:ser>
        <c:ser>
          <c:idx val="1"/>
          <c:order val="1"/>
          <c:tx>
            <c:v>p</c:v>
          </c:tx>
          <c:xVal>
            <c:numRef>
              <c:f>'6'!$Q$72:$Q$74</c:f>
              <c:numCache>
                <c:formatCode>0.00_ </c:formatCode>
                <c:ptCount val="3"/>
                <c:pt idx="0" formatCode="General">
                  <c:v>10</c:v>
                </c:pt>
                <c:pt idx="1">
                  <c:v>-91.867600466900114</c:v>
                </c:pt>
                <c:pt idx="2" formatCode="General">
                  <c:v>0</c:v>
                </c:pt>
              </c:numCache>
            </c:numRef>
          </c:xVal>
          <c:yVal>
            <c:numRef>
              <c:f>'6'!$P$72:$P$74</c:f>
              <c:numCache>
                <c:formatCode>0.00_ </c:formatCode>
                <c:ptCount val="3"/>
                <c:pt idx="0" formatCode="General">
                  <c:v>100</c:v>
                </c:pt>
                <c:pt idx="1">
                  <c:v>99.316324829081211</c:v>
                </c:pt>
                <c:pt idx="2" formatCode="General">
                  <c:v>0</c:v>
                </c:pt>
              </c:numCache>
            </c:numRef>
          </c:yVal>
        </c:ser>
        <c:ser>
          <c:idx val="2"/>
          <c:order val="2"/>
          <c:tx>
            <c:v>H</c:v>
          </c:tx>
          <c:xVal>
            <c:numRef>
              <c:f>'6'!$R$72:$R$74</c:f>
              <c:numCache>
                <c:formatCode>0.00_ </c:formatCode>
                <c:ptCount val="3"/>
                <c:pt idx="0" formatCode="General">
                  <c:v>110</c:v>
                </c:pt>
                <c:pt idx="1">
                  <c:v>7.4487243621810961</c:v>
                </c:pt>
                <c:pt idx="2" formatCode="General">
                  <c:v>0</c:v>
                </c:pt>
              </c:numCache>
            </c:numRef>
          </c:xVal>
          <c:yVal>
            <c:numRef>
              <c:f>'6'!$P$72:$P$74</c:f>
              <c:numCache>
                <c:formatCode>0.00_ </c:formatCode>
                <c:ptCount val="3"/>
                <c:pt idx="0" formatCode="General">
                  <c:v>100</c:v>
                </c:pt>
                <c:pt idx="1">
                  <c:v>99.316324829081211</c:v>
                </c:pt>
                <c:pt idx="2" formatCode="General">
                  <c:v>0</c:v>
                </c:pt>
              </c:numCache>
            </c:numRef>
          </c:yVal>
        </c:ser>
        <c:axId val="106677376"/>
        <c:axId val="106679296"/>
      </c:scatterChart>
      <c:valAx>
        <c:axId val="106677376"/>
        <c:scaling>
          <c:orientation val="minMax"/>
          <c:max val="150"/>
          <c:min val="-150"/>
        </c:scaling>
        <c:axPos val="b"/>
        <c:title>
          <c:tx>
            <c:rich>
              <a:bodyPr/>
              <a:lstStyle/>
              <a:p>
                <a:pPr>
                  <a:defRPr/>
                </a:pPr>
                <a:r>
                  <a:rPr lang="ja-JP"/>
                  <a:t>ポテンシャル水頭　</a:t>
                </a:r>
                <a:r>
                  <a:rPr lang="en-US"/>
                  <a:t>(cm)</a:t>
                </a:r>
                <a:endParaRPr lang="ja-JP"/>
              </a:p>
            </c:rich>
          </c:tx>
          <c:layout>
            <c:manualLayout>
              <c:xMode val="edge"/>
              <c:yMode val="edge"/>
              <c:x val="0.38055110958541638"/>
              <c:y val="0.91203703703703709"/>
            </c:manualLayout>
          </c:layout>
        </c:title>
        <c:numFmt formatCode="General" sourceLinked="1"/>
        <c:tickLblPos val="nextTo"/>
        <c:crossAx val="106679296"/>
        <c:crosses val="autoZero"/>
        <c:crossBetween val="midCat"/>
      </c:valAx>
      <c:valAx>
        <c:axId val="106679296"/>
        <c:scaling>
          <c:orientation val="minMax"/>
          <c:max val="100"/>
          <c:min val="0"/>
        </c:scaling>
        <c:axPos val="l"/>
        <c:title>
          <c:tx>
            <c:rich>
              <a:bodyPr rot="-5400000" vert="horz"/>
              <a:lstStyle/>
              <a:p>
                <a:pPr>
                  <a:defRPr/>
                </a:pPr>
                <a:r>
                  <a:rPr lang="ja-JP"/>
                  <a:t>カラム底面からの高さ</a:t>
                </a:r>
                <a:r>
                  <a:rPr lang="en-US"/>
                  <a:t>(cm)</a:t>
                </a:r>
                <a:endParaRPr lang="ja-JP"/>
              </a:p>
            </c:rich>
          </c:tx>
          <c:layout>
            <c:manualLayout>
              <c:xMode val="edge"/>
              <c:yMode val="edge"/>
              <c:x val="3.269754768392396E-2"/>
              <c:y val="0.14192330125400993"/>
            </c:manualLayout>
          </c:layout>
        </c:title>
        <c:numFmt formatCode="General" sourceLinked="1"/>
        <c:tickLblPos val="low"/>
        <c:crossAx val="106677376"/>
        <c:crosses val="autoZero"/>
        <c:crossBetween val="midCat"/>
        <c:majorUnit val="20"/>
      </c:valAx>
      <c:spPr>
        <a:ln>
          <a:solidFill>
            <a:schemeClr val="tx1"/>
          </a:solidFill>
        </a:ln>
      </c:spPr>
    </c:plotArea>
    <c:legend>
      <c:legendPos val="r"/>
      <c:layout>
        <c:manualLayout>
          <c:xMode val="edge"/>
          <c:yMode val="edge"/>
          <c:x val="0.21084985759747343"/>
          <c:y val="0.5436553669521148"/>
          <c:w val="0.21666660011898725"/>
          <c:h val="0.25115157480314959"/>
        </c:manualLayout>
      </c:layout>
    </c:legend>
    <c:plotVisOnly val="1"/>
    <c:dispBlanksAs val="gap"/>
  </c:chart>
  <c:spPr>
    <a:ln>
      <a:noFill/>
    </a:ln>
  </c:spPr>
  <c:txPr>
    <a:bodyPr/>
    <a:lstStyle/>
    <a:p>
      <a:pPr>
        <a:defRPr sz="1200"/>
      </a:pPr>
      <a:endParaRPr lang="ja-JP"/>
    </a:p>
  </c:tx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1784961630529345"/>
          <c:y val="2.8057561770295954E-2"/>
          <c:w val="0.72302029694968606"/>
          <c:h val="0.79175961625486657"/>
        </c:manualLayout>
      </c:layout>
      <c:scatterChart>
        <c:scatterStyle val="lineMarker"/>
        <c:ser>
          <c:idx val="1"/>
          <c:order val="1"/>
          <c:spPr>
            <a:ln>
              <a:noFill/>
            </a:ln>
          </c:spPr>
          <c:marker>
            <c:symbol val="diamond"/>
            <c:size val="7"/>
            <c:spPr>
              <a:solidFill>
                <a:srgbClr val="FF0000"/>
              </a:solidFill>
              <a:ln>
                <a:solidFill>
                  <a:srgbClr val="FF0000"/>
                </a:solidFill>
              </a:ln>
            </c:spPr>
          </c:marker>
          <c:xVal>
            <c:numRef>
              <c:f>'7'!$I$16:$I$20</c:f>
              <c:numCache>
                <c:formatCode>General</c:formatCode>
                <c:ptCount val="5"/>
                <c:pt idx="0">
                  <c:v>146.96938456699067</c:v>
                </c:pt>
                <c:pt idx="1">
                  <c:v>68.738635424337602</c:v>
                </c:pt>
                <c:pt idx="2">
                  <c:v>40</c:v>
                </c:pt>
                <c:pt idx="3">
                  <c:v>22.499999999999996</c:v>
                </c:pt>
                <c:pt idx="4">
                  <c:v>0</c:v>
                </c:pt>
              </c:numCache>
            </c:numRef>
          </c:xVal>
          <c:yVal>
            <c:numRef>
              <c:f>'7'!$F$16:$F$20</c:f>
              <c:numCache>
                <c:formatCode>General</c:formatCode>
                <c:ptCount val="5"/>
                <c:pt idx="0">
                  <c:v>0.1</c:v>
                </c:pt>
                <c:pt idx="1">
                  <c:v>0.2</c:v>
                </c:pt>
                <c:pt idx="2">
                  <c:v>0.3</c:v>
                </c:pt>
                <c:pt idx="3">
                  <c:v>0.4</c:v>
                </c:pt>
                <c:pt idx="4">
                  <c:v>0.5</c:v>
                </c:pt>
              </c:numCache>
            </c:numRef>
          </c:yVal>
        </c:ser>
        <c:ser>
          <c:idx val="0"/>
          <c:order val="0"/>
          <c:spPr>
            <a:ln>
              <a:solidFill>
                <a:srgbClr val="FF0000"/>
              </a:solidFill>
            </a:ln>
          </c:spPr>
          <c:marker>
            <c:symbol val="none"/>
          </c:marker>
          <c:xVal>
            <c:numRef>
              <c:f>'7'!$Y$1:$Y$46</c:f>
              <c:numCache>
                <c:formatCode>General</c:formatCode>
                <c:ptCount val="46"/>
                <c:pt idx="0">
                  <c:v>1499.6999699939986</c:v>
                </c:pt>
                <c:pt idx="1">
                  <c:v>1363.3063236966975</c:v>
                </c:pt>
                <c:pt idx="2">
                  <c:v>1239.3063683252051</c:v>
                </c:pt>
                <c:pt idx="3">
                  <c:v>1126.5728305888611</c:v>
                </c:pt>
                <c:pt idx="4">
                  <c:v>1024.080858854368</c:v>
                </c:pt>
                <c:pt idx="5">
                  <c:v>930.89870620623708</c:v>
                </c:pt>
                <c:pt idx="6">
                  <c:v>846.17925987836782</c:v>
                </c:pt>
                <c:pt idx="7">
                  <c:v>769.15234003978662</c:v>
                </c:pt>
                <c:pt idx="8">
                  <c:v>699.11769790775156</c:v>
                </c:pt>
                <c:pt idx="9">
                  <c:v>635.43864951364958</c:v>
                </c:pt>
                <c:pt idx="10">
                  <c:v>577.53628721866721</c:v>
                </c:pt>
                <c:pt idx="11">
                  <c:v>524.88421631895426</c:v>
                </c:pt>
                <c:pt idx="12">
                  <c:v>477.0037688407017</c:v>
                </c:pt>
                <c:pt idx="13">
                  <c:v>433.45965094635983</c:v>
                </c:pt>
                <c:pt idx="14">
                  <c:v>393.85598429175838</c:v>
                </c:pt>
                <c:pt idx="15">
                  <c:v>357.83270522358339</c:v>
                </c:pt>
                <c:pt idx="16">
                  <c:v>325.06228891664063</c:v>
                </c:pt>
                <c:pt idx="17">
                  <c:v>295.24676844541267</c:v>
                </c:pt>
                <c:pt idx="18">
                  <c:v>268.11502138469405</c:v>
                </c:pt>
                <c:pt idx="19">
                  <c:v>243.42029885428587</c:v>
                </c:pt>
                <c:pt idx="20">
                  <c:v>220.93797397098768</c:v>
                </c:pt>
                <c:pt idx="21">
                  <c:v>200.4634884469852</c:v>
                </c:pt>
                <c:pt idx="22">
                  <c:v>181.81047756480541</c:v>
                </c:pt>
                <c:pt idx="23">
                  <c:v>164.80905493544003</c:v>
                </c:pt>
                <c:pt idx="24">
                  <c:v>149.30423925140371</c:v>
                </c:pt>
                <c:pt idx="25">
                  <c:v>135.15450558111769</c:v>
                </c:pt>
                <c:pt idx="26">
                  <c:v>122.23044344538927</c:v>
                </c:pt>
                <c:pt idx="27">
                  <c:v>110.41350268088395</c:v>
                </c:pt>
                <c:pt idx="28">
                  <c:v>99.594805426712725</c:v>
                </c:pt>
                <c:pt idx="29">
                  <c:v>89.673997576274715</c:v>
                </c:pt>
                <c:pt idx="30">
                  <c:v>80.55810408217053</c:v>
                </c:pt>
                <c:pt idx="31">
                  <c:v>72.16033647207783</c:v>
                </c:pt>
                <c:pt idx="32">
                  <c:v>64.398771610400289</c:v>
                </c:pt>
                <c:pt idx="33">
                  <c:v>57.19476501017386</c:v>
                </c:pt>
                <c:pt idx="34">
                  <c:v>50.47085031034019</c:v>
                </c:pt>
                <c:pt idx="35">
                  <c:v>44.147636712660287</c:v>
                </c:pt>
                <c:pt idx="36">
                  <c:v>38.138653385730386</c:v>
                </c:pt>
                <c:pt idx="37">
                  <c:v>32.340605723701849</c:v>
                </c:pt>
                <c:pt idx="38">
                  <c:v>26.611915223841731</c:v>
                </c:pt>
                <c:pt idx="39">
                  <c:v>20.714390571800717</c:v>
                </c:pt>
                <c:pt idx="40">
                  <c:v>14.086098203991217</c:v>
                </c:pt>
                <c:pt idx="41">
                  <c:v>2.7899113722236906</c:v>
                </c:pt>
              </c:numCache>
            </c:numRef>
          </c:xVal>
          <c:yVal>
            <c:numRef>
              <c:f>'7'!$X$1:$X$46</c:f>
              <c:numCache>
                <c:formatCode>General</c:formatCode>
                <c:ptCount val="46"/>
                <c:pt idx="0">
                  <c:v>0.01</c:v>
                </c:pt>
                <c:pt idx="1">
                  <c:v>1.1000000000000001E-2</c:v>
                </c:pt>
                <c:pt idx="2">
                  <c:v>1.2100000000000001E-2</c:v>
                </c:pt>
                <c:pt idx="3">
                  <c:v>1.3310000000000002E-2</c:v>
                </c:pt>
                <c:pt idx="4">
                  <c:v>1.4641000000000003E-2</c:v>
                </c:pt>
                <c:pt idx="5">
                  <c:v>1.6105100000000004E-2</c:v>
                </c:pt>
                <c:pt idx="6">
                  <c:v>1.7715610000000007E-2</c:v>
                </c:pt>
                <c:pt idx="7">
                  <c:v>1.9487171000000008E-2</c:v>
                </c:pt>
                <c:pt idx="8">
                  <c:v>2.1435888100000012E-2</c:v>
                </c:pt>
                <c:pt idx="9">
                  <c:v>2.3579476910000015E-2</c:v>
                </c:pt>
                <c:pt idx="10">
                  <c:v>2.5937424601000018E-2</c:v>
                </c:pt>
                <c:pt idx="11">
                  <c:v>2.8531167061100021E-2</c:v>
                </c:pt>
                <c:pt idx="12">
                  <c:v>3.1384283767210024E-2</c:v>
                </c:pt>
                <c:pt idx="13">
                  <c:v>3.4522712143931031E-2</c:v>
                </c:pt>
                <c:pt idx="14">
                  <c:v>3.7974983358324138E-2</c:v>
                </c:pt>
                <c:pt idx="15">
                  <c:v>4.1772481694156552E-2</c:v>
                </c:pt>
                <c:pt idx="16">
                  <c:v>4.5949729863572208E-2</c:v>
                </c:pt>
                <c:pt idx="17">
                  <c:v>5.0544702849929436E-2</c:v>
                </c:pt>
                <c:pt idx="18">
                  <c:v>5.5599173134922387E-2</c:v>
                </c:pt>
                <c:pt idx="19">
                  <c:v>6.1159090448414631E-2</c:v>
                </c:pt>
                <c:pt idx="20">
                  <c:v>6.7274999493256105E-2</c:v>
                </c:pt>
                <c:pt idx="21">
                  <c:v>7.4002499442581721E-2</c:v>
                </c:pt>
                <c:pt idx="22">
                  <c:v>8.1402749386839904E-2</c:v>
                </c:pt>
                <c:pt idx="23">
                  <c:v>8.9543024325523898E-2</c:v>
                </c:pt>
                <c:pt idx="24">
                  <c:v>9.8497326758076292E-2</c:v>
                </c:pt>
                <c:pt idx="25">
                  <c:v>0.10834705943388392</c:v>
                </c:pt>
                <c:pt idx="26">
                  <c:v>0.11918176537727232</c:v>
                </c:pt>
                <c:pt idx="27">
                  <c:v>0.13109994191499957</c:v>
                </c:pt>
                <c:pt idx="28">
                  <c:v>0.14420993610649954</c:v>
                </c:pt>
                <c:pt idx="29">
                  <c:v>0.15863092971714951</c:v>
                </c:pt>
                <c:pt idx="30">
                  <c:v>0.17449402268886446</c:v>
                </c:pt>
                <c:pt idx="31">
                  <c:v>0.19194342495775094</c:v>
                </c:pt>
                <c:pt idx="32">
                  <c:v>0.21113776745352605</c:v>
                </c:pt>
                <c:pt idx="33">
                  <c:v>0.23225154419887867</c:v>
                </c:pt>
                <c:pt idx="34">
                  <c:v>0.25547669861876654</c:v>
                </c:pt>
                <c:pt idx="35">
                  <c:v>0.28102436848064322</c:v>
                </c:pt>
                <c:pt idx="36">
                  <c:v>0.30912680532870757</c:v>
                </c:pt>
                <c:pt idx="37">
                  <c:v>0.34003948586157834</c:v>
                </c:pt>
                <c:pt idx="38">
                  <c:v>0.37404343444773619</c:v>
                </c:pt>
                <c:pt idx="39">
                  <c:v>0.41144777789250986</c:v>
                </c:pt>
                <c:pt idx="40">
                  <c:v>0.45259255568176088</c:v>
                </c:pt>
                <c:pt idx="41">
                  <c:v>0.49785181124993699</c:v>
                </c:pt>
              </c:numCache>
            </c:numRef>
          </c:yVal>
        </c:ser>
        <c:axId val="106691968"/>
        <c:axId val="107959808"/>
      </c:scatterChart>
      <c:valAx>
        <c:axId val="106691968"/>
        <c:scaling>
          <c:orientation val="minMax"/>
          <c:max val="500"/>
          <c:min val="0"/>
        </c:scaling>
        <c:axPos val="b"/>
        <c:title>
          <c:tx>
            <c:rich>
              <a:bodyPr/>
              <a:lstStyle/>
              <a:p>
                <a:pPr>
                  <a:defRPr/>
                </a:pPr>
                <a:r>
                  <a:rPr lang="ja-JP"/>
                  <a:t>　</a:t>
                </a:r>
                <a:r>
                  <a:rPr lang="en-US"/>
                  <a:t>Pressure head, |</a:t>
                </a:r>
                <a:r>
                  <a:rPr lang="en-US" i="1"/>
                  <a:t>h</a:t>
                </a:r>
                <a:r>
                  <a:rPr lang="en-US"/>
                  <a:t>| (cm)</a:t>
                </a:r>
                <a:endParaRPr lang="ja-JP"/>
              </a:p>
            </c:rich>
          </c:tx>
        </c:title>
        <c:numFmt formatCode="General" sourceLinked="1"/>
        <c:majorTickMark val="in"/>
        <c:tickLblPos val="nextTo"/>
        <c:spPr>
          <a:ln>
            <a:solidFill>
              <a:sysClr val="windowText" lastClr="000000"/>
            </a:solidFill>
          </a:ln>
        </c:spPr>
        <c:crossAx val="107959808"/>
        <c:crosses val="autoZero"/>
        <c:crossBetween val="midCat"/>
        <c:majorUnit val="100"/>
      </c:valAx>
      <c:valAx>
        <c:axId val="107959808"/>
        <c:scaling>
          <c:orientation val="minMax"/>
        </c:scaling>
        <c:axPos val="l"/>
        <c:title>
          <c:tx>
            <c:rich>
              <a:bodyPr rot="-5400000" vert="horz"/>
              <a:lstStyle/>
              <a:p>
                <a:pPr>
                  <a:defRPr/>
                </a:pPr>
                <a:r>
                  <a:rPr lang="en-US"/>
                  <a:t>Volumetric Water content, θ (-)</a:t>
                </a:r>
                <a:endParaRPr lang="ja-JP"/>
              </a:p>
            </c:rich>
          </c:tx>
          <c:layout>
            <c:manualLayout>
              <c:xMode val="edge"/>
              <c:yMode val="edge"/>
              <c:x val="2.5000000000000001E-2"/>
              <c:y val="0.12822988505747163"/>
            </c:manualLayout>
          </c:layout>
        </c:title>
        <c:numFmt formatCode="General" sourceLinked="1"/>
        <c:majorTickMark val="in"/>
        <c:tickLblPos val="nextTo"/>
        <c:spPr>
          <a:ln>
            <a:solidFill>
              <a:sysClr val="windowText" lastClr="000000"/>
            </a:solidFill>
          </a:ln>
        </c:spPr>
        <c:crossAx val="106691968"/>
        <c:crosses val="autoZero"/>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686805058458609"/>
          <c:y val="2.8057561770295954E-2"/>
          <c:w val="0.67218940740911937"/>
          <c:h val="0.79175961625486713"/>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'7'!$E$45:$E$49</c:f>
              <c:numCache>
                <c:formatCode>General</c:formatCode>
                <c:ptCount val="5"/>
                <c:pt idx="0">
                  <c:v>-298.49623113198601</c:v>
                </c:pt>
                <c:pt idx="1">
                  <c:v>-95.393920141694551</c:v>
                </c:pt>
                <c:pt idx="2">
                  <c:v>-51.961524227066313</c:v>
                </c:pt>
                <c:pt idx="3">
                  <c:v>-30.606121836612218</c:v>
                </c:pt>
                <c:pt idx="4">
                  <c:v>-14.529663145135576</c:v>
                </c:pt>
              </c:numCache>
            </c:numRef>
          </c:xVal>
          <c:yVal>
            <c:numRef>
              <c:f>'7'!$F$45:$F$49</c:f>
              <c:numCache>
                <c:formatCode>General</c:formatCode>
                <c:ptCount val="5"/>
                <c:pt idx="0">
                  <c:v>4.9704931407717492E-4</c:v>
                </c:pt>
                <c:pt idx="1">
                  <c:v>1.5553124006057852E-3</c:v>
                </c:pt>
                <c:pt idx="2">
                  <c:v>2.8553309231350884E-3</c:v>
                </c:pt>
                <c:pt idx="3">
                  <c:v>4.8476362908969669E-3</c:v>
                </c:pt>
                <c:pt idx="4">
                  <c:v>1.0211341134116231E-2</c:v>
                </c:pt>
              </c:numCache>
            </c:numRef>
          </c:yVal>
        </c:ser>
        <c:axId val="107976192"/>
        <c:axId val="108032000"/>
      </c:scatterChart>
      <c:valAx>
        <c:axId val="107976192"/>
        <c:scaling>
          <c:orientation val="minMax"/>
        </c:scaling>
        <c:axPos val="b"/>
        <c:title>
          <c:tx>
            <c:rich>
              <a:bodyPr/>
              <a:lstStyle/>
              <a:p>
                <a:pPr>
                  <a:defRPr/>
                </a:pPr>
                <a:r>
                  <a:rPr lang="ja-JP"/>
                  <a:t>　</a:t>
                </a:r>
                <a:r>
                  <a:rPr lang="en-US"/>
                  <a:t>Pressure head, </a:t>
                </a:r>
                <a:r>
                  <a:rPr lang="en-US" i="1"/>
                  <a:t>h</a:t>
                </a:r>
                <a:r>
                  <a:rPr lang="en-US"/>
                  <a:t> (cm)</a:t>
                </a:r>
                <a:endParaRPr lang="ja-JP"/>
              </a:p>
            </c:rich>
          </c:tx>
        </c:title>
        <c:numFmt formatCode="General" sourceLinked="1"/>
        <c:majorTickMark val="in"/>
        <c:tickLblPos val="nextTo"/>
        <c:spPr>
          <a:ln>
            <a:solidFill>
              <a:sysClr val="windowText" lastClr="000000"/>
            </a:solidFill>
          </a:ln>
        </c:spPr>
        <c:crossAx val="108032000"/>
        <c:crosses val="autoZero"/>
        <c:crossBetween val="midCat"/>
      </c:valAx>
      <c:valAx>
        <c:axId val="108032000"/>
        <c:scaling>
          <c:orientation val="minMax"/>
        </c:scaling>
        <c:axPos val="l"/>
        <c:title>
          <c:tx>
            <c:rich>
              <a:bodyPr rot="-5400000" vert="horz"/>
              <a:lstStyle/>
              <a:p>
                <a:pPr>
                  <a:defRPr/>
                </a:pPr>
                <a:r>
                  <a:rPr lang="en-US" i="1"/>
                  <a:t>R</a:t>
                </a:r>
                <a:r>
                  <a:rPr lang="en-US" baseline="-25000"/>
                  <a:t>J</a:t>
                </a:r>
                <a:r>
                  <a:rPr lang="en-US"/>
                  <a:t> (cm)</a:t>
                </a:r>
                <a:endParaRPr lang="ja-JP"/>
              </a:p>
            </c:rich>
          </c:tx>
          <c:layout>
            <c:manualLayout>
              <c:xMode val="edge"/>
              <c:yMode val="edge"/>
              <c:x val="2.5000115454776428E-2"/>
              <c:y val="0.33827562650559084"/>
            </c:manualLayout>
          </c:layout>
        </c:title>
        <c:numFmt formatCode="General" sourceLinked="1"/>
        <c:majorTickMark val="in"/>
        <c:tickLblPos val="nextTo"/>
        <c:spPr>
          <a:ln>
            <a:solidFill>
              <a:sysClr val="windowText" lastClr="000000"/>
            </a:solidFill>
          </a:ln>
        </c:spPr>
        <c:crossAx val="107976192"/>
        <c:crossesAt val="-400"/>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155" l="0.70000000000000062" r="0.70000000000000062" t="0.7500000000000015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106"/>
          <c:h val="0.79175961625486757"/>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'7'!$E$45:$E$49</c:f>
              <c:numCache>
                <c:formatCode>General</c:formatCode>
                <c:ptCount val="5"/>
                <c:pt idx="0">
                  <c:v>-298.49623113198601</c:v>
                </c:pt>
                <c:pt idx="1">
                  <c:v>-95.393920141694551</c:v>
                </c:pt>
                <c:pt idx="2">
                  <c:v>-51.961524227066313</c:v>
                </c:pt>
                <c:pt idx="3">
                  <c:v>-30.606121836612218</c:v>
                </c:pt>
                <c:pt idx="4">
                  <c:v>-14.529663145135576</c:v>
                </c:pt>
              </c:numCache>
            </c:numRef>
          </c:xVal>
          <c:yVal>
            <c:numRef>
              <c:f>'7'!$G$45:$G$49</c:f>
              <c:numCache>
                <c:formatCode>General</c:formatCode>
                <c:ptCount val="5"/>
                <c:pt idx="0">
                  <c:v>128840.13454777465</c:v>
                </c:pt>
                <c:pt idx="1">
                  <c:v>13158.756727101556</c:v>
                </c:pt>
                <c:pt idx="2">
                  <c:v>3904.2465014477152</c:v>
                </c:pt>
                <c:pt idx="3">
                  <c:v>1354.5345005022689</c:v>
                </c:pt>
                <c:pt idx="4">
                  <c:v>305.27030258233157</c:v>
                </c:pt>
              </c:numCache>
            </c:numRef>
          </c:yVal>
        </c:ser>
        <c:axId val="108051456"/>
        <c:axId val="108353024"/>
      </c:scatterChart>
      <c:valAx>
        <c:axId val="108051456"/>
        <c:scaling>
          <c:orientation val="minMax"/>
        </c:scaling>
        <c:axPos val="b"/>
        <c:title>
          <c:tx>
            <c:rich>
              <a:bodyPr/>
              <a:lstStyle/>
              <a:p>
                <a:pPr>
                  <a:defRPr/>
                </a:pPr>
                <a:r>
                  <a:rPr lang="ja-JP"/>
                  <a:t>　</a:t>
                </a:r>
                <a:r>
                  <a:rPr lang="en-US"/>
                  <a:t>Pressure head, |h| (cm)</a:t>
                </a:r>
                <a:endParaRPr lang="ja-JP"/>
              </a:p>
            </c:rich>
          </c:tx>
        </c:title>
        <c:numFmt formatCode="General" sourceLinked="1"/>
        <c:majorTickMark val="in"/>
        <c:tickLblPos val="nextTo"/>
        <c:spPr>
          <a:ln>
            <a:solidFill>
              <a:sysClr val="windowText" lastClr="000000"/>
            </a:solidFill>
          </a:ln>
        </c:spPr>
        <c:crossAx val="108353024"/>
        <c:crosses val="autoZero"/>
        <c:crossBetween val="midCat"/>
      </c:valAx>
      <c:valAx>
        <c:axId val="108353024"/>
        <c:scaling>
          <c:logBase val="10"/>
          <c:orientation val="minMax"/>
          <c:min val="100"/>
        </c:scaling>
        <c:axPos val="l"/>
        <c:title>
          <c:tx>
            <c:rich>
              <a:bodyPr rot="-5400000" vert="horz"/>
              <a:lstStyle/>
              <a:p>
                <a:pPr>
                  <a:defRPr/>
                </a:pPr>
                <a:r>
                  <a:rPr lang="en-US" i="1"/>
                  <a:t>n</a:t>
                </a:r>
                <a:r>
                  <a:rPr lang="en-US" baseline="-25000"/>
                  <a:t>J</a:t>
                </a:r>
                <a:r>
                  <a:rPr lang="en-US"/>
                  <a:t>  (</a:t>
                </a:r>
                <a:r>
                  <a:rPr lang="ja-JP" altLang="en-US"/>
                  <a:t>本</a:t>
                </a:r>
                <a:r>
                  <a:rPr lang="en-US"/>
                  <a:t>)</a:t>
                </a:r>
                <a:endParaRPr lang="ja-JP"/>
              </a:p>
            </c:rich>
          </c:tx>
          <c:layout>
            <c:manualLayout>
              <c:xMode val="edge"/>
              <c:yMode val="edge"/>
              <c:x val="2.5000115454776428E-2"/>
              <c:y val="0.38850393700787467"/>
            </c:manualLayout>
          </c:layout>
        </c:title>
        <c:numFmt formatCode="General" sourceLinked="0"/>
        <c:majorTickMark val="in"/>
        <c:tickLblPos val="nextTo"/>
        <c:spPr>
          <a:ln>
            <a:solidFill>
              <a:sysClr val="windowText" lastClr="000000"/>
            </a:solidFill>
          </a:ln>
        </c:spPr>
        <c:crossAx val="108051456"/>
        <c:crossesAt val="-400"/>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178" l="0.70000000000000062" r="0.70000000000000062" t="0.750000000000001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151"/>
          <c:h val="0.79175961625486813"/>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'7'!$E$45:$E$49</c:f>
              <c:numCache>
                <c:formatCode>General</c:formatCode>
                <c:ptCount val="5"/>
                <c:pt idx="0">
                  <c:v>-298.49623113198601</c:v>
                </c:pt>
                <c:pt idx="1">
                  <c:v>-95.393920141694551</c:v>
                </c:pt>
                <c:pt idx="2">
                  <c:v>-51.961524227066313</c:v>
                </c:pt>
                <c:pt idx="3">
                  <c:v>-30.606121836612218</c:v>
                </c:pt>
                <c:pt idx="4">
                  <c:v>-14.529663145135576</c:v>
                </c:pt>
              </c:numCache>
            </c:numRef>
          </c:xVal>
          <c:yVal>
            <c:numRef>
              <c:f>'7'!$K$45:$K$49</c:f>
              <c:numCache>
                <c:formatCode>General</c:formatCode>
                <c:ptCount val="5"/>
                <c:pt idx="0">
                  <c:v>3.0264607526512286E-4</c:v>
                </c:pt>
                <c:pt idx="1">
                  <c:v>2.9632709127607099E-3</c:v>
                </c:pt>
                <c:pt idx="2">
                  <c:v>9.9873204837490574E-3</c:v>
                </c:pt>
                <c:pt idx="3">
                  <c:v>2.8786982570806093E-2</c:v>
                </c:pt>
                <c:pt idx="4">
                  <c:v>0.12773257250268533</c:v>
                </c:pt>
              </c:numCache>
            </c:numRef>
          </c:yVal>
        </c:ser>
        <c:axId val="108385024"/>
        <c:axId val="108387328"/>
      </c:scatterChart>
      <c:valAx>
        <c:axId val="108385024"/>
        <c:scaling>
          <c:orientation val="minMax"/>
        </c:scaling>
        <c:axPos val="b"/>
        <c:title>
          <c:tx>
            <c:rich>
              <a:bodyPr/>
              <a:lstStyle/>
              <a:p>
                <a:pPr>
                  <a:defRPr/>
                </a:pPr>
                <a:r>
                  <a:rPr lang="ja-JP"/>
                  <a:t>　</a:t>
                </a:r>
                <a:r>
                  <a:rPr lang="en-US"/>
                  <a:t>Pressure head, |h| (cm)</a:t>
                </a:r>
                <a:endParaRPr lang="ja-JP"/>
              </a:p>
            </c:rich>
          </c:tx>
        </c:title>
        <c:numFmt formatCode="General" sourceLinked="1"/>
        <c:majorTickMark val="in"/>
        <c:tickLblPos val="nextTo"/>
        <c:spPr>
          <a:ln>
            <a:solidFill>
              <a:sysClr val="windowText" lastClr="000000"/>
            </a:solidFill>
          </a:ln>
        </c:spPr>
        <c:crossAx val="108387328"/>
        <c:crossesAt val="1.0000000000000015E-4"/>
        <c:crossBetween val="midCat"/>
      </c:valAx>
      <c:valAx>
        <c:axId val="108387328"/>
        <c:scaling>
          <c:logBase val="10"/>
          <c:orientation val="minMax"/>
        </c:scaling>
        <c:axPos val="l"/>
        <c:title>
          <c:tx>
            <c:rich>
              <a:bodyPr rot="-5400000" vert="horz"/>
              <a:lstStyle/>
              <a:p>
                <a:pPr>
                  <a:defRPr/>
                </a:pPr>
                <a:r>
                  <a:rPr lang="ja-JP" altLang="en-US"/>
                  <a:t>相当径の毛管の流量 </a:t>
                </a:r>
                <a:r>
                  <a:rPr lang="en-US" altLang="ja-JP"/>
                  <a:t>(cm</a:t>
                </a:r>
                <a:r>
                  <a:rPr lang="en-US" altLang="ja-JP" baseline="30000"/>
                  <a:t>3</a:t>
                </a:r>
                <a:r>
                  <a:rPr lang="en-US" altLang="ja-JP"/>
                  <a:t>/s)</a:t>
                </a:r>
                <a:endParaRPr lang="ja-JP"/>
              </a:p>
            </c:rich>
          </c:tx>
          <c:layout>
            <c:manualLayout>
              <c:xMode val="edge"/>
              <c:yMode val="edge"/>
              <c:x val="2.5000115454776428E-2"/>
              <c:y val="0.10020529968000573"/>
            </c:manualLayout>
          </c:layout>
        </c:title>
        <c:numFmt formatCode="General" sourceLinked="0"/>
        <c:majorTickMark val="in"/>
        <c:tickLblPos val="nextTo"/>
        <c:spPr>
          <a:ln>
            <a:solidFill>
              <a:sysClr val="windowText" lastClr="000000"/>
            </a:solidFill>
          </a:ln>
        </c:spPr>
        <c:crossAx val="108385024"/>
        <c:crossesAt val="-400"/>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184"/>
          <c:h val="0.79175961625486857"/>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'7'!$E$45:$E$49</c:f>
              <c:numCache>
                <c:formatCode>General</c:formatCode>
                <c:ptCount val="5"/>
                <c:pt idx="0">
                  <c:v>-298.49623113198601</c:v>
                </c:pt>
                <c:pt idx="1">
                  <c:v>-95.393920141694551</c:v>
                </c:pt>
                <c:pt idx="2">
                  <c:v>-51.961524227066313</c:v>
                </c:pt>
                <c:pt idx="3">
                  <c:v>-30.606121836612218</c:v>
                </c:pt>
                <c:pt idx="4">
                  <c:v>-14.529663145135576</c:v>
                </c:pt>
              </c:numCache>
            </c:numRef>
          </c:xVal>
          <c:yVal>
            <c:numRef>
              <c:f>'7'!$L$45:$L$49</c:f>
              <c:numCache>
                <c:formatCode>General</c:formatCode>
                <c:ptCount val="5"/>
                <c:pt idx="0">
                  <c:v>1.7826535732127318E-3</c:v>
                </c:pt>
                <c:pt idx="1">
                  <c:v>1.7454333337720271E-2</c:v>
                </c:pt>
                <c:pt idx="2">
                  <c:v>5.8827567916020167E-2</c:v>
                </c:pt>
                <c:pt idx="3">
                  <c:v>0.16956181340499921</c:v>
                </c:pt>
                <c:pt idx="4">
                  <c:v>0.7523736317680475</c:v>
                </c:pt>
              </c:numCache>
            </c:numRef>
          </c:yVal>
        </c:ser>
        <c:axId val="108722048"/>
        <c:axId val="108855680"/>
      </c:scatterChart>
      <c:valAx>
        <c:axId val="108722048"/>
        <c:scaling>
          <c:orientation val="minMax"/>
        </c:scaling>
        <c:axPos val="b"/>
        <c:title>
          <c:tx>
            <c:rich>
              <a:bodyPr/>
              <a:lstStyle/>
              <a:p>
                <a:pPr>
                  <a:defRPr/>
                </a:pPr>
                <a:r>
                  <a:rPr lang="ja-JP"/>
                  <a:t>　</a:t>
                </a:r>
                <a:r>
                  <a:rPr lang="en-US"/>
                  <a:t>Pressure head, |h| (cm)</a:t>
                </a:r>
                <a:endParaRPr lang="ja-JP"/>
              </a:p>
            </c:rich>
          </c:tx>
        </c:title>
        <c:numFmt formatCode="General" sourceLinked="1"/>
        <c:majorTickMark val="in"/>
        <c:tickLblPos val="nextTo"/>
        <c:spPr>
          <a:ln>
            <a:solidFill>
              <a:sysClr val="windowText" lastClr="000000"/>
            </a:solidFill>
          </a:ln>
        </c:spPr>
        <c:crossAx val="108855680"/>
        <c:crosses val="autoZero"/>
        <c:crossBetween val="midCat"/>
      </c:valAx>
      <c:valAx>
        <c:axId val="108855680"/>
        <c:scaling>
          <c:orientation val="minMax"/>
          <c:max val="1"/>
        </c:scaling>
        <c:axPos val="l"/>
        <c:title>
          <c:tx>
            <c:rich>
              <a:bodyPr rot="-5400000" vert="horz"/>
              <a:lstStyle/>
              <a:p>
                <a:pPr>
                  <a:defRPr/>
                </a:pPr>
                <a:r>
                  <a:rPr lang="ja-JP" altLang="en-US"/>
                  <a:t>相当径の毛管が占める流量比</a:t>
                </a:r>
                <a:endParaRPr lang="ja-JP"/>
              </a:p>
            </c:rich>
          </c:tx>
          <c:layout>
            <c:manualLayout>
              <c:xMode val="edge"/>
              <c:yMode val="edge"/>
              <c:x val="2.5000115454776428E-2"/>
              <c:y val="0.10933771977133001"/>
            </c:manualLayout>
          </c:layout>
        </c:title>
        <c:numFmt formatCode="General" sourceLinked="0"/>
        <c:majorTickMark val="in"/>
        <c:tickLblPos val="nextTo"/>
        <c:spPr>
          <a:ln>
            <a:solidFill>
              <a:sysClr val="windowText" lastClr="000000"/>
            </a:solidFill>
          </a:ln>
        </c:spPr>
        <c:crossAx val="108722048"/>
        <c:crossesAt val="-400"/>
        <c:crossBetween val="midCat"/>
        <c:majorUnit val="0.2"/>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222" l="0.70000000000000062" r="0.70000000000000062" t="0.750000000000002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184"/>
          <c:h val="0.79175961625486857"/>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'7'!$F$45:$F$49</c:f>
              <c:numCache>
                <c:formatCode>General</c:formatCode>
                <c:ptCount val="5"/>
                <c:pt idx="0">
                  <c:v>4.9704931407717492E-4</c:v>
                </c:pt>
                <c:pt idx="1">
                  <c:v>1.5553124006057852E-3</c:v>
                </c:pt>
                <c:pt idx="2">
                  <c:v>2.8553309231350884E-3</c:v>
                </c:pt>
                <c:pt idx="3">
                  <c:v>4.8476362908969669E-3</c:v>
                </c:pt>
                <c:pt idx="4">
                  <c:v>1.0211341134116231E-2</c:v>
                </c:pt>
              </c:numCache>
            </c:numRef>
          </c:xVal>
          <c:yVal>
            <c:numRef>
              <c:f>'7'!$K$45:$K$49</c:f>
              <c:numCache>
                <c:formatCode>General</c:formatCode>
                <c:ptCount val="5"/>
                <c:pt idx="0">
                  <c:v>3.0264607526512286E-4</c:v>
                </c:pt>
                <c:pt idx="1">
                  <c:v>2.9632709127607099E-3</c:v>
                </c:pt>
                <c:pt idx="2">
                  <c:v>9.9873204837490574E-3</c:v>
                </c:pt>
                <c:pt idx="3">
                  <c:v>2.8786982570806093E-2</c:v>
                </c:pt>
                <c:pt idx="4">
                  <c:v>0.12773257250268533</c:v>
                </c:pt>
              </c:numCache>
            </c:numRef>
          </c:yVal>
        </c:ser>
        <c:axId val="108878848"/>
        <c:axId val="108893696"/>
      </c:scatterChart>
      <c:valAx>
        <c:axId val="108878848"/>
        <c:scaling>
          <c:orientation val="minMax"/>
        </c:scaling>
        <c:axPos val="b"/>
        <c:title>
          <c:tx>
            <c:rich>
              <a:bodyPr/>
              <a:lstStyle/>
              <a:p>
                <a:pPr>
                  <a:defRPr/>
                </a:pPr>
                <a:r>
                  <a:rPr lang="en-US"/>
                  <a:t>Capillary radius, </a:t>
                </a:r>
                <a:r>
                  <a:rPr lang="en-US" i="1"/>
                  <a:t>R</a:t>
                </a:r>
                <a:r>
                  <a:rPr lang="en-US" baseline="-25000"/>
                  <a:t>J</a:t>
                </a:r>
                <a:r>
                  <a:rPr lang="en-US"/>
                  <a:t> (cm)</a:t>
                </a:r>
                <a:endParaRPr lang="ja-JP"/>
              </a:p>
            </c:rich>
          </c:tx>
        </c:title>
        <c:numFmt formatCode="General" sourceLinked="1"/>
        <c:majorTickMark val="in"/>
        <c:tickLblPos val="nextTo"/>
        <c:spPr>
          <a:ln>
            <a:solidFill>
              <a:sysClr val="windowText" lastClr="000000"/>
            </a:solidFill>
          </a:ln>
        </c:spPr>
        <c:crossAx val="108893696"/>
        <c:crossesAt val="1.0000000000000022E-4"/>
        <c:crossBetween val="midCat"/>
      </c:valAx>
      <c:valAx>
        <c:axId val="108893696"/>
        <c:scaling>
          <c:orientation val="minMax"/>
        </c:scaling>
        <c:axPos val="l"/>
        <c:title>
          <c:tx>
            <c:rich>
              <a:bodyPr rot="-5400000" vert="horz"/>
              <a:lstStyle/>
              <a:p>
                <a:pPr>
                  <a:defRPr/>
                </a:pPr>
                <a:r>
                  <a:rPr lang="ja-JP" altLang="en-US"/>
                  <a:t>相当径の毛管の流量 </a:t>
                </a:r>
                <a:r>
                  <a:rPr lang="en-US" altLang="ja-JP"/>
                  <a:t>(cm</a:t>
                </a:r>
                <a:r>
                  <a:rPr lang="en-US" altLang="ja-JP" baseline="30000"/>
                  <a:t>3</a:t>
                </a:r>
                <a:r>
                  <a:rPr lang="en-US" altLang="ja-JP"/>
                  <a:t>/s)</a:t>
                </a:r>
                <a:endParaRPr lang="ja-JP"/>
              </a:p>
            </c:rich>
          </c:tx>
          <c:layout>
            <c:manualLayout>
              <c:xMode val="edge"/>
              <c:yMode val="edge"/>
              <c:x val="2.5000115454776428E-2"/>
              <c:y val="8.1940459497357343E-2"/>
            </c:manualLayout>
          </c:layout>
        </c:title>
        <c:numFmt formatCode="General" sourceLinked="0"/>
        <c:majorTickMark val="in"/>
        <c:tickLblPos val="nextTo"/>
        <c:spPr>
          <a:ln>
            <a:solidFill>
              <a:sysClr val="windowText" lastClr="000000"/>
            </a:solidFill>
          </a:ln>
        </c:spPr>
        <c:crossAx val="108878848"/>
        <c:crossesAt val="-400"/>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222" l="0.70000000000000062" r="0.70000000000000062" t="0.75000000000000222"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206"/>
          <c:h val="0.79175961625486913"/>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'7'!$F$45:$F$49</c:f>
              <c:numCache>
                <c:formatCode>General</c:formatCode>
                <c:ptCount val="5"/>
                <c:pt idx="0">
                  <c:v>4.9704931407717492E-4</c:v>
                </c:pt>
                <c:pt idx="1">
                  <c:v>1.5553124006057852E-3</c:v>
                </c:pt>
                <c:pt idx="2">
                  <c:v>2.8553309231350884E-3</c:v>
                </c:pt>
                <c:pt idx="3">
                  <c:v>4.8476362908969669E-3</c:v>
                </c:pt>
                <c:pt idx="4">
                  <c:v>1.0211341134116231E-2</c:v>
                </c:pt>
              </c:numCache>
            </c:numRef>
          </c:xVal>
          <c:yVal>
            <c:numRef>
              <c:f>'7'!$L$45:$L$49</c:f>
              <c:numCache>
                <c:formatCode>General</c:formatCode>
                <c:ptCount val="5"/>
                <c:pt idx="0">
                  <c:v>1.7826535732127318E-3</c:v>
                </c:pt>
                <c:pt idx="1">
                  <c:v>1.7454333337720271E-2</c:v>
                </c:pt>
                <c:pt idx="2">
                  <c:v>5.8827567916020167E-2</c:v>
                </c:pt>
                <c:pt idx="3">
                  <c:v>0.16956181340499921</c:v>
                </c:pt>
                <c:pt idx="4">
                  <c:v>0.7523736317680475</c:v>
                </c:pt>
              </c:numCache>
            </c:numRef>
          </c:yVal>
        </c:ser>
        <c:axId val="108904832"/>
        <c:axId val="108907136"/>
      </c:scatterChart>
      <c:valAx>
        <c:axId val="108904832"/>
        <c:scaling>
          <c:orientation val="minMax"/>
        </c:scaling>
        <c:axPos val="b"/>
        <c:title>
          <c:tx>
            <c:rich>
              <a:bodyPr/>
              <a:lstStyle/>
              <a:p>
                <a:pPr>
                  <a:defRPr/>
                </a:pPr>
                <a:r>
                  <a:rPr lang="en-US" altLang="ja-JP"/>
                  <a:t>Capillary radius</a:t>
                </a:r>
                <a:r>
                  <a:rPr lang="en-US"/>
                  <a:t>, </a:t>
                </a:r>
                <a:r>
                  <a:rPr lang="en-US" i="1"/>
                  <a:t>R</a:t>
                </a:r>
                <a:r>
                  <a:rPr lang="en-US" baseline="-25000"/>
                  <a:t>J</a:t>
                </a:r>
                <a:r>
                  <a:rPr lang="en-US"/>
                  <a:t> (cm)</a:t>
                </a:r>
                <a:endParaRPr lang="ja-JP"/>
              </a:p>
            </c:rich>
          </c:tx>
        </c:title>
        <c:numFmt formatCode="General" sourceLinked="1"/>
        <c:majorTickMark val="in"/>
        <c:tickLblPos val="nextTo"/>
        <c:spPr>
          <a:ln>
            <a:solidFill>
              <a:sysClr val="windowText" lastClr="000000"/>
            </a:solidFill>
          </a:ln>
        </c:spPr>
        <c:crossAx val="108907136"/>
        <c:crosses val="autoZero"/>
        <c:crossBetween val="midCat"/>
      </c:valAx>
      <c:valAx>
        <c:axId val="108907136"/>
        <c:scaling>
          <c:orientation val="minMax"/>
          <c:max val="1"/>
        </c:scaling>
        <c:axPos val="l"/>
        <c:title>
          <c:tx>
            <c:rich>
              <a:bodyPr rot="-5400000" vert="horz"/>
              <a:lstStyle/>
              <a:p>
                <a:pPr>
                  <a:defRPr/>
                </a:pPr>
                <a:r>
                  <a:rPr lang="ja-JP" altLang="en-US"/>
                  <a:t>相当径の毛管が占める流量比</a:t>
                </a:r>
                <a:endParaRPr lang="ja-JP"/>
              </a:p>
            </c:rich>
          </c:tx>
          <c:layout>
            <c:manualLayout>
              <c:xMode val="edge"/>
              <c:yMode val="edge"/>
              <c:x val="2.5000115454776428E-2"/>
              <c:y val="9.5639089634343644E-2"/>
            </c:manualLayout>
          </c:layout>
        </c:title>
        <c:numFmt formatCode="General" sourceLinked="0"/>
        <c:majorTickMark val="in"/>
        <c:tickLblPos val="nextTo"/>
        <c:spPr>
          <a:ln>
            <a:solidFill>
              <a:sysClr val="windowText" lastClr="000000"/>
            </a:solidFill>
          </a:ln>
        </c:spPr>
        <c:crossAx val="108904832"/>
        <c:crossesAt val="-400"/>
        <c:crossBetween val="midCat"/>
        <c:majorUnit val="0.2"/>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244" l="0.70000000000000062" r="0.70000000000000062" t="0.750000000000002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695030056726781"/>
          <c:y val="2.8057561770295954E-2"/>
          <c:w val="0.68391961268771151"/>
          <c:h val="0.79175961625486813"/>
        </c:manualLayout>
      </c:layout>
      <c:scatterChart>
        <c:scatterStyle val="lineMarker"/>
        <c:ser>
          <c:idx val="1"/>
          <c:order val="0"/>
          <c:spPr>
            <a:ln>
              <a:solidFill>
                <a:srgbClr val="FF0000"/>
              </a:solidFill>
            </a:ln>
          </c:spPr>
          <c:marker>
            <c:symbol val="diamond"/>
            <c:size val="7"/>
            <c:spPr>
              <a:solidFill>
                <a:srgbClr val="FF0000"/>
              </a:solidFill>
              <a:ln>
                <a:solidFill>
                  <a:srgbClr val="FF0000"/>
                </a:solidFill>
              </a:ln>
            </c:spPr>
          </c:marker>
          <c:xVal>
            <c:numRef>
              <c:f>'7'!$F$45:$F$49</c:f>
              <c:numCache>
                <c:formatCode>General</c:formatCode>
                <c:ptCount val="5"/>
                <c:pt idx="0">
                  <c:v>4.9704931407717492E-4</c:v>
                </c:pt>
                <c:pt idx="1">
                  <c:v>1.5553124006057852E-3</c:v>
                </c:pt>
                <c:pt idx="2">
                  <c:v>2.8553309231350884E-3</c:v>
                </c:pt>
                <c:pt idx="3">
                  <c:v>4.8476362908969669E-3</c:v>
                </c:pt>
                <c:pt idx="4">
                  <c:v>1.0211341134116231E-2</c:v>
                </c:pt>
              </c:numCache>
            </c:numRef>
          </c:xVal>
          <c:yVal>
            <c:numRef>
              <c:f>'7'!$G$45:$G$49</c:f>
              <c:numCache>
                <c:formatCode>General</c:formatCode>
                <c:ptCount val="5"/>
                <c:pt idx="0">
                  <c:v>128840.13454777465</c:v>
                </c:pt>
                <c:pt idx="1">
                  <c:v>13158.756727101556</c:v>
                </c:pt>
                <c:pt idx="2">
                  <c:v>3904.2465014477152</c:v>
                </c:pt>
                <c:pt idx="3">
                  <c:v>1354.5345005022689</c:v>
                </c:pt>
                <c:pt idx="4">
                  <c:v>305.27030258233157</c:v>
                </c:pt>
              </c:numCache>
            </c:numRef>
          </c:yVal>
        </c:ser>
        <c:axId val="109647360"/>
        <c:axId val="109649920"/>
      </c:scatterChart>
      <c:valAx>
        <c:axId val="109647360"/>
        <c:scaling>
          <c:orientation val="minMax"/>
        </c:scaling>
        <c:axPos val="b"/>
        <c:title>
          <c:tx>
            <c:rich>
              <a:bodyPr/>
              <a:lstStyle/>
              <a:p>
                <a:pPr>
                  <a:defRPr/>
                </a:pPr>
                <a:r>
                  <a:rPr lang="en-US"/>
                  <a:t>Capillary radius, </a:t>
                </a:r>
                <a:r>
                  <a:rPr lang="en-US" i="1"/>
                  <a:t>R</a:t>
                </a:r>
                <a:r>
                  <a:rPr lang="en-US" baseline="-25000"/>
                  <a:t>J</a:t>
                </a:r>
                <a:r>
                  <a:rPr lang="en-US"/>
                  <a:t> (cm)</a:t>
                </a:r>
                <a:endParaRPr lang="ja-JP"/>
              </a:p>
            </c:rich>
          </c:tx>
        </c:title>
        <c:numFmt formatCode="General" sourceLinked="1"/>
        <c:majorTickMark val="in"/>
        <c:tickLblPos val="nextTo"/>
        <c:spPr>
          <a:ln>
            <a:solidFill>
              <a:sysClr val="windowText" lastClr="000000"/>
            </a:solidFill>
          </a:ln>
        </c:spPr>
        <c:crossAx val="109649920"/>
        <c:crosses val="autoZero"/>
        <c:crossBetween val="midCat"/>
      </c:valAx>
      <c:valAx>
        <c:axId val="109649920"/>
        <c:scaling>
          <c:logBase val="10"/>
          <c:orientation val="minMax"/>
          <c:min val="100"/>
        </c:scaling>
        <c:axPos val="l"/>
        <c:title>
          <c:tx>
            <c:rich>
              <a:bodyPr rot="-5400000" vert="horz"/>
              <a:lstStyle/>
              <a:p>
                <a:pPr>
                  <a:defRPr/>
                </a:pPr>
                <a:r>
                  <a:rPr lang="en-US" i="1"/>
                  <a:t>n</a:t>
                </a:r>
                <a:r>
                  <a:rPr lang="en-US" baseline="-25000"/>
                  <a:t>J</a:t>
                </a:r>
                <a:r>
                  <a:rPr lang="en-US"/>
                  <a:t>  (</a:t>
                </a:r>
                <a:r>
                  <a:rPr lang="ja-JP" altLang="en-US"/>
                  <a:t>本</a:t>
                </a:r>
                <a:r>
                  <a:rPr lang="en-US"/>
                  <a:t>)</a:t>
                </a:r>
                <a:endParaRPr lang="ja-JP"/>
              </a:p>
            </c:rich>
          </c:tx>
          <c:layout>
            <c:manualLayout>
              <c:xMode val="edge"/>
              <c:yMode val="edge"/>
              <c:x val="2.5000115454776449E-2"/>
              <c:y val="0.38850393700787489"/>
            </c:manualLayout>
          </c:layout>
        </c:title>
        <c:numFmt formatCode="General" sourceLinked="0"/>
        <c:majorTickMark val="in"/>
        <c:tickLblPos val="nextTo"/>
        <c:spPr>
          <a:ln>
            <a:solidFill>
              <a:sysClr val="windowText" lastClr="000000"/>
            </a:solidFill>
          </a:ln>
        </c:spPr>
        <c:crossAx val="109647360"/>
        <c:crossesAt val="-400"/>
        <c:crossBetween val="midCat"/>
      </c:valAx>
      <c:spPr>
        <a:ln>
          <a:solidFill>
            <a:sysClr val="windowText" lastClr="000000"/>
          </a:solidFill>
        </a:ln>
      </c:spPr>
    </c:plotArea>
    <c:plotVisOnly val="1"/>
    <c:dispBlanksAs val="gap"/>
  </c:chart>
  <c:spPr>
    <a:ln>
      <a:noFill/>
    </a:ln>
  </c:spPr>
  <c:txPr>
    <a:bodyPr/>
    <a:lstStyle/>
    <a:p>
      <a:pPr>
        <a:defRPr sz="1200"/>
      </a:pPr>
      <a:endParaRPr lang="ja-JP"/>
    </a:p>
  </c:txPr>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1429104320159395"/>
          <c:y val="3.264289880431627E-2"/>
          <c:w val="0.70783131208277672"/>
          <c:h val="0.78731837091791756"/>
        </c:manualLayout>
      </c:layout>
      <c:scatterChart>
        <c:scatterStyle val="lineMarker"/>
        <c:ser>
          <c:idx val="3"/>
          <c:order val="2"/>
          <c:tx>
            <c:v>z</c:v>
          </c:tx>
          <c:spPr>
            <a:ln>
              <a:solidFill>
                <a:srgbClr val="00B0F0"/>
              </a:solidFill>
            </a:ln>
          </c:spPr>
          <c:marker>
            <c:symbol val="none"/>
          </c:marker>
          <c:xVal>
            <c:numRef>
              <c:f>'1'!$C$12:$C$18</c:f>
              <c:numCache>
                <c:formatCode>General</c:formatCode>
                <c:ptCount val="7"/>
                <c:pt idx="0">
                  <c:v>120</c:v>
                </c:pt>
                <c:pt idx="1">
                  <c:v>100</c:v>
                </c:pt>
                <c:pt idx="2">
                  <c:v>70</c:v>
                </c:pt>
                <c:pt idx="3">
                  <c:v>40</c:v>
                </c:pt>
                <c:pt idx="4">
                  <c:v>20</c:v>
                </c:pt>
                <c:pt idx="5">
                  <c:v>5</c:v>
                </c:pt>
                <c:pt idx="6">
                  <c:v>0</c:v>
                </c:pt>
              </c:numCache>
            </c:numRef>
          </c:xVal>
          <c:yVal>
            <c:numRef>
              <c:f>'1'!$C$12:$C$18</c:f>
              <c:numCache>
                <c:formatCode>General</c:formatCode>
                <c:ptCount val="7"/>
                <c:pt idx="0">
                  <c:v>120</c:v>
                </c:pt>
                <c:pt idx="1">
                  <c:v>100</c:v>
                </c:pt>
                <c:pt idx="2">
                  <c:v>70</c:v>
                </c:pt>
                <c:pt idx="3">
                  <c:v>40</c:v>
                </c:pt>
                <c:pt idx="4">
                  <c:v>20</c:v>
                </c:pt>
                <c:pt idx="5">
                  <c:v>5</c:v>
                </c:pt>
                <c:pt idx="6">
                  <c:v>0</c:v>
                </c:pt>
              </c:numCache>
            </c:numRef>
          </c:yVal>
        </c:ser>
        <c:ser>
          <c:idx val="1"/>
          <c:order val="1"/>
          <c:tx>
            <c:v>p</c:v>
          </c:tx>
          <c:spPr>
            <a:ln>
              <a:solidFill>
                <a:srgbClr val="FF0000"/>
              </a:solidFill>
            </a:ln>
          </c:spPr>
          <c:marker>
            <c:symbol val="none"/>
          </c:marker>
          <c:xVal>
            <c:numRef>
              <c:f>'1'!$D$12:$D$18</c:f>
              <c:numCache>
                <c:formatCode>General</c:formatCode>
                <c:ptCount val="7"/>
                <c:pt idx="0">
                  <c:v>-750</c:v>
                </c:pt>
                <c:pt idx="1">
                  <c:v>-300</c:v>
                </c:pt>
                <c:pt idx="2">
                  <c:v>-175</c:v>
                </c:pt>
                <c:pt idx="3">
                  <c:v>-70</c:v>
                </c:pt>
                <c:pt idx="4">
                  <c:v>-30</c:v>
                </c:pt>
                <c:pt idx="5">
                  <c:v>-6</c:v>
                </c:pt>
                <c:pt idx="6">
                  <c:v>0</c:v>
                </c:pt>
              </c:numCache>
            </c:numRef>
          </c:xVal>
          <c:yVal>
            <c:numRef>
              <c:f>'1'!$C$12:$C$18</c:f>
              <c:numCache>
                <c:formatCode>General</c:formatCode>
                <c:ptCount val="7"/>
                <c:pt idx="0">
                  <c:v>120</c:v>
                </c:pt>
                <c:pt idx="1">
                  <c:v>100</c:v>
                </c:pt>
                <c:pt idx="2">
                  <c:v>70</c:v>
                </c:pt>
                <c:pt idx="3">
                  <c:v>40</c:v>
                </c:pt>
                <c:pt idx="4">
                  <c:v>20</c:v>
                </c:pt>
                <c:pt idx="5">
                  <c:v>5</c:v>
                </c:pt>
                <c:pt idx="6">
                  <c:v>0</c:v>
                </c:pt>
              </c:numCache>
            </c:numRef>
          </c:yVal>
        </c:ser>
        <c:ser>
          <c:idx val="0"/>
          <c:order val="0"/>
          <c:tx>
            <c:v>H</c:v>
          </c:tx>
          <c:spPr>
            <a:ln>
              <a:solidFill>
                <a:schemeClr val="tx1"/>
              </a:solidFill>
            </a:ln>
          </c:spPr>
          <c:marker>
            <c:symbol val="none"/>
          </c:marker>
          <c:xVal>
            <c:numRef>
              <c:f>'1'!$E$12:$E$18</c:f>
              <c:numCache>
                <c:formatCode>General</c:formatCode>
                <c:ptCount val="7"/>
                <c:pt idx="0">
                  <c:v>-630</c:v>
                </c:pt>
                <c:pt idx="1">
                  <c:v>-200</c:v>
                </c:pt>
                <c:pt idx="2">
                  <c:v>-105</c:v>
                </c:pt>
                <c:pt idx="3">
                  <c:v>-30</c:v>
                </c:pt>
                <c:pt idx="4">
                  <c:v>-10</c:v>
                </c:pt>
                <c:pt idx="5">
                  <c:v>-1</c:v>
                </c:pt>
                <c:pt idx="6">
                  <c:v>0</c:v>
                </c:pt>
              </c:numCache>
            </c:numRef>
          </c:xVal>
          <c:yVal>
            <c:numRef>
              <c:f>'1'!$C$12:$C$18</c:f>
              <c:numCache>
                <c:formatCode>General</c:formatCode>
                <c:ptCount val="7"/>
                <c:pt idx="0">
                  <c:v>120</c:v>
                </c:pt>
                <c:pt idx="1">
                  <c:v>100</c:v>
                </c:pt>
                <c:pt idx="2">
                  <c:v>70</c:v>
                </c:pt>
                <c:pt idx="3">
                  <c:v>40</c:v>
                </c:pt>
                <c:pt idx="4">
                  <c:v>20</c:v>
                </c:pt>
                <c:pt idx="5">
                  <c:v>5</c:v>
                </c:pt>
                <c:pt idx="6">
                  <c:v>0</c:v>
                </c:pt>
              </c:numCache>
            </c:numRef>
          </c:yVal>
        </c:ser>
        <c:axId val="108020864"/>
        <c:axId val="108023168"/>
      </c:scatterChart>
      <c:valAx>
        <c:axId val="108020864"/>
        <c:scaling>
          <c:orientation val="minMax"/>
          <c:max val="200"/>
          <c:min val="-800"/>
        </c:scaling>
        <c:axPos val="b"/>
        <c:title>
          <c:tx>
            <c:rich>
              <a:bodyPr/>
              <a:lstStyle/>
              <a:p>
                <a:pPr>
                  <a:defRPr/>
                </a:pPr>
                <a:r>
                  <a:rPr lang="ja-JP"/>
                  <a:t>　</a:t>
                </a:r>
                <a:r>
                  <a:rPr lang="ja-JP" altLang="en-US"/>
                  <a:t>ポテンシャル水頭</a:t>
                </a:r>
                <a:r>
                  <a:rPr lang="en-US" i="1"/>
                  <a:t> </a:t>
                </a:r>
                <a:r>
                  <a:rPr lang="en-US"/>
                  <a:t>(cm)</a:t>
                </a:r>
                <a:endParaRPr lang="ja-JP"/>
              </a:p>
            </c:rich>
          </c:tx>
          <c:layout>
            <c:manualLayout>
              <c:xMode val="edge"/>
              <c:yMode val="edge"/>
              <c:x val="0.3145333363941753"/>
              <c:y val="0.91533542948769631"/>
            </c:manualLayout>
          </c:layout>
        </c:title>
        <c:numFmt formatCode="General" sourceLinked="1"/>
        <c:majorTickMark val="in"/>
        <c:tickLblPos val="nextTo"/>
        <c:crossAx val="108023168"/>
        <c:crosses val="autoZero"/>
        <c:crossBetween val="midCat"/>
        <c:majorUnit val="200"/>
        <c:minorUnit val="40"/>
      </c:valAx>
      <c:valAx>
        <c:axId val="108023168"/>
        <c:scaling>
          <c:orientation val="minMax"/>
          <c:max val="120"/>
          <c:min val="0"/>
        </c:scaling>
        <c:axPos val="l"/>
        <c:title>
          <c:tx>
            <c:rich>
              <a:bodyPr rot="-5400000" vert="horz"/>
              <a:lstStyle/>
              <a:p>
                <a:pPr>
                  <a:defRPr/>
                </a:pPr>
                <a:r>
                  <a:rPr lang="ja-JP" altLang="en-US" i="0"/>
                  <a:t>カラム下端からの距離　</a:t>
                </a:r>
                <a:r>
                  <a:rPr lang="en-US"/>
                  <a:t>(cm)</a:t>
                </a:r>
                <a:endParaRPr lang="ja-JP"/>
              </a:p>
            </c:rich>
          </c:tx>
        </c:title>
        <c:numFmt formatCode="General" sourceLinked="0"/>
        <c:majorTickMark val="in"/>
        <c:tickLblPos val="nextTo"/>
        <c:crossAx val="108020864"/>
        <c:crossesAt val="-800"/>
        <c:crossBetween val="midCat"/>
      </c:valAx>
      <c:spPr>
        <a:noFill/>
        <a:ln>
          <a:solidFill>
            <a:schemeClr val="tx1"/>
          </a:solidFill>
        </a:ln>
      </c:spPr>
    </c:plotArea>
    <c:legend>
      <c:legendPos val="r"/>
      <c:layout>
        <c:manualLayout>
          <c:xMode val="edge"/>
          <c:yMode val="edge"/>
          <c:x val="0.26110787172011657"/>
          <c:y val="0.50111347003126128"/>
          <c:w val="0.15301334039780143"/>
          <c:h val="0.29883710654940948"/>
        </c:manualLayout>
      </c:layout>
    </c:legend>
    <c:plotVisOnly val="1"/>
    <c:dispBlanksAs val="gap"/>
  </c:chart>
  <c:spPr>
    <a:ln>
      <a:noFill/>
    </a:ln>
  </c:spPr>
  <c:txPr>
    <a:bodyPr/>
    <a:lstStyle/>
    <a:p>
      <a:pPr>
        <a:defRPr sz="1200"/>
      </a:pPr>
      <a:endParaRPr lang="ja-JP"/>
    </a:p>
  </c:txPr>
  <c:printSettings>
    <c:headerFooter/>
    <c:pageMargins b="0.75000000000000278" l="0.70000000000000062" r="0.70000000000000062" t="0.750000000000002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lang="en-US" altLang="ja-JP" sz="1100"/>
              <a:t>J</a:t>
            </a:r>
            <a:r>
              <a:rPr lang="en-US" altLang="ja-JP" sz="1100" baseline="-25000"/>
              <a:t>w</a:t>
            </a:r>
            <a:r>
              <a:rPr lang="en-US" altLang="ja-JP" sz="1100"/>
              <a:t> - z </a:t>
            </a:r>
            <a:endParaRPr lang="ja-JP" altLang="en-US" sz="1100"/>
          </a:p>
        </c:rich>
      </c:tx>
    </c:title>
    <c:plotArea>
      <c:layout/>
      <c:scatterChart>
        <c:scatterStyle val="lineMarker"/>
        <c:ser>
          <c:idx val="0"/>
          <c:order val="0"/>
          <c:spPr>
            <a:ln>
              <a:solidFill>
                <a:srgbClr val="EA0000"/>
              </a:solidFill>
            </a:ln>
          </c:spPr>
          <c:marker>
            <c:symbol val="none"/>
          </c:marker>
          <c:xVal>
            <c:numRef>
              <c:f>'9'!$D$45:$D$95</c:f>
              <c:numCache>
                <c:formatCode>General</c:formatCode>
                <c:ptCount val="51"/>
                <c:pt idx="0">
                  <c:v>-10</c:v>
                </c:pt>
                <c:pt idx="1">
                  <c:v>-9.8019999999999996</c:v>
                </c:pt>
                <c:pt idx="2">
                  <c:v>-9.6080000000000005</c:v>
                </c:pt>
                <c:pt idx="3">
                  <c:v>-9.4179999999999993</c:v>
                </c:pt>
                <c:pt idx="4">
                  <c:v>-9.2319999999999993</c:v>
                </c:pt>
                <c:pt idx="5">
                  <c:v>-9.0500000000000007</c:v>
                </c:pt>
                <c:pt idx="6">
                  <c:v>-8.8719999999999999</c:v>
                </c:pt>
                <c:pt idx="7">
                  <c:v>-8.6980000000000004</c:v>
                </c:pt>
                <c:pt idx="8">
                  <c:v>-8.5280000000000005</c:v>
                </c:pt>
                <c:pt idx="9">
                  <c:v>-8.3620000000000001</c:v>
                </c:pt>
                <c:pt idx="10">
                  <c:v>-8.1999999999999993</c:v>
                </c:pt>
                <c:pt idx="11">
                  <c:v>-8.0419999999999998</c:v>
                </c:pt>
                <c:pt idx="12">
                  <c:v>-7.8879999999999999</c:v>
                </c:pt>
                <c:pt idx="13">
                  <c:v>-7.7379999999999995</c:v>
                </c:pt>
                <c:pt idx="14">
                  <c:v>-7.5920000000000005</c:v>
                </c:pt>
                <c:pt idx="15">
                  <c:v>-7.4499999999999993</c:v>
                </c:pt>
                <c:pt idx="16">
                  <c:v>-7.3119999999999994</c:v>
                </c:pt>
                <c:pt idx="17">
                  <c:v>-7.1779999999999999</c:v>
                </c:pt>
                <c:pt idx="18">
                  <c:v>-7.048</c:v>
                </c:pt>
                <c:pt idx="19">
                  <c:v>-6.9220000000000006</c:v>
                </c:pt>
                <c:pt idx="20">
                  <c:v>-6.8</c:v>
                </c:pt>
                <c:pt idx="21">
                  <c:v>-6.6820000000000004</c:v>
                </c:pt>
                <c:pt idx="22">
                  <c:v>-6.5679999999999996</c:v>
                </c:pt>
                <c:pt idx="23">
                  <c:v>-6.4580000000000002</c:v>
                </c:pt>
                <c:pt idx="24">
                  <c:v>-6.3520000000000003</c:v>
                </c:pt>
                <c:pt idx="25">
                  <c:v>-6.25</c:v>
                </c:pt>
                <c:pt idx="26">
                  <c:v>-6.1520000000000001</c:v>
                </c:pt>
                <c:pt idx="27">
                  <c:v>-6.0579999999999998</c:v>
                </c:pt>
                <c:pt idx="28">
                  <c:v>-5.968</c:v>
                </c:pt>
                <c:pt idx="29">
                  <c:v>-5.8819999999999997</c:v>
                </c:pt>
                <c:pt idx="30">
                  <c:v>-5.8</c:v>
                </c:pt>
                <c:pt idx="31">
                  <c:v>-5.7219999999999995</c:v>
                </c:pt>
                <c:pt idx="32">
                  <c:v>-5.6479999999999997</c:v>
                </c:pt>
                <c:pt idx="33">
                  <c:v>-5.5780000000000003</c:v>
                </c:pt>
                <c:pt idx="34">
                  <c:v>-5.5119999999999996</c:v>
                </c:pt>
                <c:pt idx="35">
                  <c:v>-5.45</c:v>
                </c:pt>
                <c:pt idx="36">
                  <c:v>-5.3919999999999995</c:v>
                </c:pt>
                <c:pt idx="37">
                  <c:v>-5.3380000000000001</c:v>
                </c:pt>
                <c:pt idx="38">
                  <c:v>-5.2880000000000003</c:v>
                </c:pt>
                <c:pt idx="39">
                  <c:v>-5.242</c:v>
                </c:pt>
                <c:pt idx="40">
                  <c:v>-5.2</c:v>
                </c:pt>
                <c:pt idx="41">
                  <c:v>-5.1619999999999999</c:v>
                </c:pt>
                <c:pt idx="42">
                  <c:v>-5.1280000000000001</c:v>
                </c:pt>
                <c:pt idx="43">
                  <c:v>-5.0979999999999999</c:v>
                </c:pt>
                <c:pt idx="44">
                  <c:v>-5.0720000000000001</c:v>
                </c:pt>
                <c:pt idx="45">
                  <c:v>-5.05</c:v>
                </c:pt>
                <c:pt idx="46">
                  <c:v>-5.032</c:v>
                </c:pt>
                <c:pt idx="47">
                  <c:v>-5.0179999999999998</c:v>
                </c:pt>
                <c:pt idx="48">
                  <c:v>-5.008</c:v>
                </c:pt>
                <c:pt idx="49">
                  <c:v>-5.0019999999999998</c:v>
                </c:pt>
                <c:pt idx="50">
                  <c:v>-5</c:v>
                </c:pt>
              </c:numCache>
            </c:numRef>
          </c:xVal>
          <c:yVal>
            <c:numRef>
              <c:f>'9'!$B$45:$B$95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yVal>
        </c:ser>
        <c:axId val="109659648"/>
        <c:axId val="109661568"/>
      </c:scatterChart>
      <c:valAx>
        <c:axId val="109659648"/>
        <c:scaling>
          <c:orientation val="minMax"/>
          <c:max val="0"/>
          <c:min val="-10"/>
        </c:scaling>
        <c:axPos val="b"/>
        <c:title>
          <c:tx>
            <c:rich>
              <a:bodyPr/>
              <a:lstStyle/>
              <a:p>
                <a:pPr>
                  <a:defRPr/>
                </a:pPr>
                <a:r>
                  <a:rPr lang="ja-JP" altLang="en-US"/>
                  <a:t>水分フラックス </a:t>
                </a:r>
                <a:r>
                  <a:rPr lang="en-US" altLang="ja-JP"/>
                  <a:t>J</a:t>
                </a:r>
                <a:r>
                  <a:rPr lang="en-US" altLang="ja-JP" baseline="-25000"/>
                  <a:t>w</a:t>
                </a:r>
                <a:r>
                  <a:rPr lang="en-US" altLang="ja-JP"/>
                  <a:t> [cm/day]</a:t>
                </a:r>
                <a:endParaRPr lang="ja-JP" altLang="en-US"/>
              </a:p>
            </c:rich>
          </c:tx>
        </c:title>
        <c:numFmt formatCode="General" sourceLinked="1"/>
        <c:majorTickMark val="none"/>
        <c:tickLblPos val="high"/>
        <c:crossAx val="109661568"/>
        <c:crosses val="autoZero"/>
        <c:crossBetween val="midCat"/>
      </c:valAx>
      <c:valAx>
        <c:axId val="109661568"/>
        <c:scaling>
          <c:orientation val="minMax"/>
        </c:scaling>
        <c:axPos val="l"/>
        <c:title>
          <c:tx>
            <c:rich>
              <a:bodyPr/>
              <a:lstStyle/>
              <a:p>
                <a:pPr>
                  <a:defRPr/>
                </a:pPr>
                <a:r>
                  <a:rPr lang="ja-JP" altLang="en-US"/>
                  <a:t>カラムの深さ </a:t>
                </a:r>
                <a:r>
                  <a:rPr lang="en-US" altLang="ja-JP"/>
                  <a:t>z [cm]</a:t>
                </a:r>
                <a:endParaRPr lang="ja-JP" altLang="en-US"/>
              </a:p>
            </c:rich>
          </c:tx>
        </c:title>
        <c:numFmt formatCode="General" sourceLinked="1"/>
        <c:majorTickMark val="none"/>
        <c:tickLblPos val="high"/>
        <c:crossAx val="109659648"/>
        <c:crosses val="autoZero"/>
        <c:crossBetween val="midCat"/>
      </c:valAx>
      <c:spPr>
        <a:ln>
          <a:solidFill>
            <a:schemeClr val="tx1">
              <a:lumMod val="50000"/>
              <a:lumOff val="50000"/>
            </a:schemeClr>
          </a:solidFill>
        </a:ln>
      </c:spPr>
    </c:plotArea>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lang="ja-JP" altLang="en-US" sz="1100"/>
              <a:t>根の吸水分布</a:t>
            </a:r>
          </a:p>
        </c:rich>
      </c:tx>
    </c:title>
    <c:plotArea>
      <c:layout/>
      <c:scatterChart>
        <c:scatterStyle val="lineMarker"/>
        <c:ser>
          <c:idx val="0"/>
          <c:order val="0"/>
          <c:spPr>
            <a:ln>
              <a:solidFill>
                <a:srgbClr val="08009E"/>
              </a:solidFill>
            </a:ln>
          </c:spPr>
          <c:marker>
            <c:symbol val="none"/>
          </c:marker>
          <c:xVal>
            <c:numRef>
              <c:f>'9'!$C$45:$C$95</c:f>
              <c:numCache>
                <c:formatCode>General</c:formatCode>
                <c:ptCount val="51"/>
                <c:pt idx="0">
                  <c:v>0.2</c:v>
                </c:pt>
                <c:pt idx="1">
                  <c:v>0.19600000000000001</c:v>
                </c:pt>
                <c:pt idx="2">
                  <c:v>0.192</c:v>
                </c:pt>
                <c:pt idx="3">
                  <c:v>0.188</c:v>
                </c:pt>
                <c:pt idx="4">
                  <c:v>0.184</c:v>
                </c:pt>
                <c:pt idx="5">
                  <c:v>0.18</c:v>
                </c:pt>
                <c:pt idx="6">
                  <c:v>0.17599999999999999</c:v>
                </c:pt>
                <c:pt idx="7">
                  <c:v>0.17200000000000001</c:v>
                </c:pt>
                <c:pt idx="8">
                  <c:v>0.16800000000000001</c:v>
                </c:pt>
                <c:pt idx="9">
                  <c:v>0.16400000000000001</c:v>
                </c:pt>
                <c:pt idx="10">
                  <c:v>0.16</c:v>
                </c:pt>
                <c:pt idx="11">
                  <c:v>0.156</c:v>
                </c:pt>
                <c:pt idx="12">
                  <c:v>0.152</c:v>
                </c:pt>
                <c:pt idx="13">
                  <c:v>0.14799999999999999</c:v>
                </c:pt>
                <c:pt idx="14">
                  <c:v>0.14400000000000002</c:v>
                </c:pt>
                <c:pt idx="15">
                  <c:v>0.14000000000000001</c:v>
                </c:pt>
                <c:pt idx="16">
                  <c:v>0.13600000000000001</c:v>
                </c:pt>
                <c:pt idx="17">
                  <c:v>0.13200000000000001</c:v>
                </c:pt>
                <c:pt idx="18">
                  <c:v>0.128</c:v>
                </c:pt>
                <c:pt idx="19">
                  <c:v>0.124</c:v>
                </c:pt>
                <c:pt idx="20">
                  <c:v>0.12</c:v>
                </c:pt>
                <c:pt idx="21">
                  <c:v>0.11600000000000001</c:v>
                </c:pt>
                <c:pt idx="22">
                  <c:v>0.112</c:v>
                </c:pt>
                <c:pt idx="23">
                  <c:v>0.108</c:v>
                </c:pt>
                <c:pt idx="24">
                  <c:v>0.10400000000000001</c:v>
                </c:pt>
                <c:pt idx="25">
                  <c:v>0.1</c:v>
                </c:pt>
                <c:pt idx="26">
                  <c:v>9.6000000000000002E-2</c:v>
                </c:pt>
                <c:pt idx="27">
                  <c:v>9.1999999999999998E-2</c:v>
                </c:pt>
                <c:pt idx="28">
                  <c:v>8.7999999999999995E-2</c:v>
                </c:pt>
                <c:pt idx="29">
                  <c:v>8.4000000000000005E-2</c:v>
                </c:pt>
                <c:pt idx="30">
                  <c:v>0.08</c:v>
                </c:pt>
                <c:pt idx="31">
                  <c:v>7.5999999999999998E-2</c:v>
                </c:pt>
                <c:pt idx="32">
                  <c:v>7.2000000000000008E-2</c:v>
                </c:pt>
                <c:pt idx="33">
                  <c:v>6.8000000000000005E-2</c:v>
                </c:pt>
                <c:pt idx="34">
                  <c:v>6.4000000000000001E-2</c:v>
                </c:pt>
                <c:pt idx="35">
                  <c:v>0.06</c:v>
                </c:pt>
                <c:pt idx="36">
                  <c:v>5.6000000000000001E-2</c:v>
                </c:pt>
                <c:pt idx="37">
                  <c:v>5.2000000000000005E-2</c:v>
                </c:pt>
                <c:pt idx="38">
                  <c:v>4.8000000000000001E-2</c:v>
                </c:pt>
                <c:pt idx="39">
                  <c:v>4.3999999999999997E-2</c:v>
                </c:pt>
                <c:pt idx="40">
                  <c:v>0.04</c:v>
                </c:pt>
                <c:pt idx="41">
                  <c:v>3.6000000000000004E-2</c:v>
                </c:pt>
                <c:pt idx="42">
                  <c:v>3.2000000000000001E-2</c:v>
                </c:pt>
                <c:pt idx="43">
                  <c:v>2.8000000000000001E-2</c:v>
                </c:pt>
                <c:pt idx="44">
                  <c:v>2.4E-2</c:v>
                </c:pt>
                <c:pt idx="45">
                  <c:v>0.02</c:v>
                </c:pt>
                <c:pt idx="46">
                  <c:v>1.6E-2</c:v>
                </c:pt>
                <c:pt idx="47">
                  <c:v>1.2E-2</c:v>
                </c:pt>
                <c:pt idx="48">
                  <c:v>8.0000000000000002E-3</c:v>
                </c:pt>
                <c:pt idx="49">
                  <c:v>4.0000000000000001E-3</c:v>
                </c:pt>
                <c:pt idx="50">
                  <c:v>0</c:v>
                </c:pt>
              </c:numCache>
            </c:numRef>
          </c:xVal>
          <c:yVal>
            <c:numRef>
              <c:f>'9'!$B$45:$B$95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yVal>
        </c:ser>
        <c:axId val="109956096"/>
        <c:axId val="109966464"/>
      </c:scatterChart>
      <c:valAx>
        <c:axId val="109956096"/>
        <c:scaling>
          <c:orientation val="minMax"/>
          <c:max val="0.4"/>
        </c:scaling>
        <c:axPos val="b"/>
        <c:title>
          <c:tx>
            <c:rich>
              <a:bodyPr/>
              <a:lstStyle/>
              <a:p>
                <a:pPr>
                  <a:defRPr/>
                </a:pPr>
                <a:r>
                  <a:rPr lang="ja-JP" altLang="en-US"/>
                  <a:t>単位体積，単位時間当たりの吸水量 </a:t>
                </a:r>
                <a:r>
                  <a:rPr lang="en-US" altLang="ja-JP"/>
                  <a:t>r</a:t>
                </a:r>
                <a:r>
                  <a:rPr lang="en-US" altLang="ja-JP" baseline="-25000"/>
                  <a:t>w</a:t>
                </a:r>
                <a:r>
                  <a:rPr lang="en-US" altLang="ja-JP"/>
                  <a:t> [day</a:t>
                </a:r>
                <a:r>
                  <a:rPr lang="en-US" altLang="ja-JP" baseline="30000"/>
                  <a:t>-1</a:t>
                </a:r>
                <a:r>
                  <a:rPr lang="en-US" altLang="ja-JP"/>
                  <a:t>]</a:t>
                </a:r>
                <a:endParaRPr lang="ja-JP" altLang="en-US"/>
              </a:p>
            </c:rich>
          </c:tx>
        </c:title>
        <c:numFmt formatCode="General" sourceLinked="1"/>
        <c:majorTickMark val="none"/>
        <c:tickLblPos val="high"/>
        <c:crossAx val="109966464"/>
        <c:crosses val="autoZero"/>
        <c:crossBetween val="midCat"/>
      </c:valAx>
      <c:valAx>
        <c:axId val="109966464"/>
        <c:scaling>
          <c:orientation val="minMax"/>
        </c:scaling>
        <c:axPos val="l"/>
        <c:title>
          <c:tx>
            <c:rich>
              <a:bodyPr/>
              <a:lstStyle/>
              <a:p>
                <a:pPr>
                  <a:defRPr/>
                </a:pPr>
                <a:r>
                  <a:rPr lang="ja-JP" altLang="en-US"/>
                  <a:t>カラムの深さ </a:t>
                </a:r>
                <a:r>
                  <a:rPr lang="en-US" altLang="ja-JP"/>
                  <a:t>z [cm]</a:t>
                </a:r>
                <a:endParaRPr lang="ja-JP" altLang="en-US"/>
              </a:p>
            </c:rich>
          </c:tx>
        </c:title>
        <c:numFmt formatCode="General" sourceLinked="1"/>
        <c:majorTickMark val="none"/>
        <c:tickLblPos val="nextTo"/>
        <c:crossAx val="109956096"/>
        <c:crosses val="autoZero"/>
        <c:crossBetween val="midCat"/>
      </c:valAx>
      <c:spPr>
        <a:ln>
          <a:solidFill>
            <a:schemeClr val="tx1">
              <a:lumMod val="50000"/>
              <a:lumOff val="50000"/>
            </a:schemeClr>
          </a:solidFill>
        </a:ln>
      </c:spPr>
    </c:plotArea>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lang="en-US" altLang="ja-JP" sz="1100"/>
              <a:t>J</a:t>
            </a:r>
            <a:r>
              <a:rPr lang="en-US" altLang="ja-JP" sz="1100" baseline="-25000"/>
              <a:t>w</a:t>
            </a:r>
            <a:r>
              <a:rPr lang="en-US" altLang="ja-JP" sz="1100"/>
              <a:t> - z </a:t>
            </a:r>
            <a:endParaRPr lang="ja-JP" altLang="en-US" sz="1100"/>
          </a:p>
        </c:rich>
      </c:tx>
    </c:title>
    <c:plotArea>
      <c:layout/>
      <c:scatterChart>
        <c:scatterStyle val="lineMarker"/>
        <c:ser>
          <c:idx val="0"/>
          <c:order val="0"/>
          <c:spPr>
            <a:ln>
              <a:solidFill>
                <a:srgbClr val="EA0000"/>
              </a:solidFill>
            </a:ln>
          </c:spPr>
          <c:marker>
            <c:symbol val="none"/>
          </c:marker>
          <c:xVal>
            <c:numRef>
              <c:f>'9'!$F$45:$F$95</c:f>
              <c:numCache>
                <c:formatCode>General</c:formatCode>
                <c:ptCount val="51"/>
                <c:pt idx="0">
                  <c:v>-10</c:v>
                </c:pt>
                <c:pt idx="1">
                  <c:v>-9.9</c:v>
                </c:pt>
                <c:pt idx="2">
                  <c:v>-9.8000000000000007</c:v>
                </c:pt>
                <c:pt idx="3">
                  <c:v>-9.6999999999999993</c:v>
                </c:pt>
                <c:pt idx="4">
                  <c:v>-9.6</c:v>
                </c:pt>
                <c:pt idx="5">
                  <c:v>-9.5</c:v>
                </c:pt>
                <c:pt idx="6">
                  <c:v>-9.4</c:v>
                </c:pt>
                <c:pt idx="7">
                  <c:v>-9.3000000000000007</c:v>
                </c:pt>
                <c:pt idx="8">
                  <c:v>-9.1999999999999993</c:v>
                </c:pt>
                <c:pt idx="9">
                  <c:v>-9.1</c:v>
                </c:pt>
                <c:pt idx="10">
                  <c:v>-9</c:v>
                </c:pt>
                <c:pt idx="11">
                  <c:v>-8.9</c:v>
                </c:pt>
                <c:pt idx="12">
                  <c:v>-8.8000000000000007</c:v>
                </c:pt>
                <c:pt idx="13">
                  <c:v>-8.6999999999999993</c:v>
                </c:pt>
                <c:pt idx="14">
                  <c:v>-8.6</c:v>
                </c:pt>
                <c:pt idx="15">
                  <c:v>-8.5</c:v>
                </c:pt>
                <c:pt idx="16">
                  <c:v>-8.4</c:v>
                </c:pt>
                <c:pt idx="17">
                  <c:v>-8.3000000000000007</c:v>
                </c:pt>
                <c:pt idx="18">
                  <c:v>-8.1999999999999993</c:v>
                </c:pt>
                <c:pt idx="19">
                  <c:v>-8.1</c:v>
                </c:pt>
                <c:pt idx="20">
                  <c:v>-8</c:v>
                </c:pt>
                <c:pt idx="21">
                  <c:v>-7.9</c:v>
                </c:pt>
                <c:pt idx="22">
                  <c:v>-7.8</c:v>
                </c:pt>
                <c:pt idx="23">
                  <c:v>-7.6999999999999993</c:v>
                </c:pt>
                <c:pt idx="24">
                  <c:v>-7.6</c:v>
                </c:pt>
                <c:pt idx="25">
                  <c:v>-7.5</c:v>
                </c:pt>
                <c:pt idx="26">
                  <c:v>-7.4</c:v>
                </c:pt>
                <c:pt idx="27">
                  <c:v>-7.3</c:v>
                </c:pt>
                <c:pt idx="28">
                  <c:v>-7.1999999999999993</c:v>
                </c:pt>
                <c:pt idx="29">
                  <c:v>-7.1</c:v>
                </c:pt>
                <c:pt idx="30">
                  <c:v>-7</c:v>
                </c:pt>
                <c:pt idx="31">
                  <c:v>-6.9</c:v>
                </c:pt>
                <c:pt idx="32">
                  <c:v>-6.8</c:v>
                </c:pt>
                <c:pt idx="33">
                  <c:v>-6.6999999999999993</c:v>
                </c:pt>
                <c:pt idx="34">
                  <c:v>-6.6</c:v>
                </c:pt>
                <c:pt idx="35">
                  <c:v>-6.5</c:v>
                </c:pt>
                <c:pt idx="36">
                  <c:v>-6.4</c:v>
                </c:pt>
                <c:pt idx="37">
                  <c:v>-6.3</c:v>
                </c:pt>
                <c:pt idx="38">
                  <c:v>-6.1999999999999993</c:v>
                </c:pt>
                <c:pt idx="39">
                  <c:v>-6.1</c:v>
                </c:pt>
                <c:pt idx="40">
                  <c:v>-6</c:v>
                </c:pt>
                <c:pt idx="41">
                  <c:v>-5.8999999999999995</c:v>
                </c:pt>
                <c:pt idx="42">
                  <c:v>-5.8</c:v>
                </c:pt>
                <c:pt idx="43">
                  <c:v>-5.7</c:v>
                </c:pt>
                <c:pt idx="44">
                  <c:v>-5.6</c:v>
                </c:pt>
                <c:pt idx="45">
                  <c:v>-5.5</c:v>
                </c:pt>
                <c:pt idx="46">
                  <c:v>-5.3999999999999995</c:v>
                </c:pt>
                <c:pt idx="47">
                  <c:v>-5.3</c:v>
                </c:pt>
                <c:pt idx="48">
                  <c:v>-5.1999999999999993</c:v>
                </c:pt>
                <c:pt idx="49">
                  <c:v>-5.0999999999999996</c:v>
                </c:pt>
                <c:pt idx="50">
                  <c:v>-5</c:v>
                </c:pt>
              </c:numCache>
            </c:numRef>
          </c:xVal>
          <c:yVal>
            <c:numRef>
              <c:f>'9'!$B$45:$B$95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yVal>
        </c:ser>
        <c:axId val="110019328"/>
        <c:axId val="110021248"/>
      </c:scatterChart>
      <c:valAx>
        <c:axId val="110019328"/>
        <c:scaling>
          <c:orientation val="minMax"/>
          <c:max val="0"/>
          <c:min val="-10"/>
        </c:scaling>
        <c:axPos val="b"/>
        <c:title>
          <c:tx>
            <c:rich>
              <a:bodyPr/>
              <a:lstStyle/>
              <a:p>
                <a:pPr>
                  <a:defRPr/>
                </a:pPr>
                <a:r>
                  <a:rPr lang="ja-JP" altLang="en-US"/>
                  <a:t>水分フラックス </a:t>
                </a:r>
                <a:r>
                  <a:rPr lang="en-US" altLang="ja-JP"/>
                  <a:t>J</a:t>
                </a:r>
                <a:r>
                  <a:rPr lang="en-US" altLang="ja-JP" baseline="-25000"/>
                  <a:t>w</a:t>
                </a:r>
                <a:r>
                  <a:rPr lang="en-US" altLang="ja-JP"/>
                  <a:t> [cm/day]</a:t>
                </a:r>
                <a:endParaRPr lang="ja-JP" altLang="en-US"/>
              </a:p>
            </c:rich>
          </c:tx>
        </c:title>
        <c:numFmt formatCode="General" sourceLinked="1"/>
        <c:majorTickMark val="none"/>
        <c:tickLblPos val="high"/>
        <c:crossAx val="110021248"/>
        <c:crosses val="autoZero"/>
        <c:crossBetween val="midCat"/>
      </c:valAx>
      <c:valAx>
        <c:axId val="110021248"/>
        <c:scaling>
          <c:orientation val="minMax"/>
        </c:scaling>
        <c:axPos val="l"/>
        <c:title>
          <c:tx>
            <c:rich>
              <a:bodyPr/>
              <a:lstStyle/>
              <a:p>
                <a:pPr>
                  <a:defRPr/>
                </a:pPr>
                <a:r>
                  <a:rPr lang="ja-JP" altLang="en-US"/>
                  <a:t>カラムの深さ </a:t>
                </a:r>
                <a:r>
                  <a:rPr lang="en-US" altLang="ja-JP"/>
                  <a:t>z [cm]</a:t>
                </a:r>
                <a:endParaRPr lang="ja-JP" altLang="en-US"/>
              </a:p>
            </c:rich>
          </c:tx>
        </c:title>
        <c:numFmt formatCode="General" sourceLinked="1"/>
        <c:majorTickMark val="none"/>
        <c:tickLblPos val="high"/>
        <c:crossAx val="110019328"/>
        <c:crosses val="autoZero"/>
        <c:crossBetween val="midCat"/>
      </c:valAx>
      <c:spPr>
        <a:ln>
          <a:solidFill>
            <a:schemeClr val="tx1">
              <a:lumMod val="50000"/>
              <a:lumOff val="50000"/>
            </a:schemeClr>
          </a:solidFill>
        </a:ln>
      </c:spPr>
    </c:plotArea>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lang="ja-JP" altLang="en-US" sz="1100"/>
              <a:t>根の吸水分布</a:t>
            </a:r>
          </a:p>
        </c:rich>
      </c:tx>
    </c:title>
    <c:plotArea>
      <c:layout/>
      <c:scatterChart>
        <c:scatterStyle val="lineMarker"/>
        <c:ser>
          <c:idx val="0"/>
          <c:order val="0"/>
          <c:spPr>
            <a:ln>
              <a:solidFill>
                <a:srgbClr val="08009E"/>
              </a:solidFill>
            </a:ln>
          </c:spPr>
          <c:marker>
            <c:symbol val="none"/>
          </c:marker>
          <c:xVal>
            <c:numRef>
              <c:f>'9'!$E$45:$E$95</c:f>
              <c:numCache>
                <c:formatCode>General</c:formatCode>
                <c:ptCount val="51"/>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pt idx="38">
                  <c:v>0.1</c:v>
                </c:pt>
                <c:pt idx="39">
                  <c:v>0.1</c:v>
                </c:pt>
                <c:pt idx="40">
                  <c:v>0.1</c:v>
                </c:pt>
                <c:pt idx="41">
                  <c:v>0.1</c:v>
                </c:pt>
                <c:pt idx="42">
                  <c:v>0.1</c:v>
                </c:pt>
                <c:pt idx="43">
                  <c:v>0.1</c:v>
                </c:pt>
                <c:pt idx="44">
                  <c:v>0.1</c:v>
                </c:pt>
                <c:pt idx="45">
                  <c:v>0.1</c:v>
                </c:pt>
                <c:pt idx="46">
                  <c:v>0.1</c:v>
                </c:pt>
                <c:pt idx="47">
                  <c:v>0.1</c:v>
                </c:pt>
                <c:pt idx="48">
                  <c:v>0.1</c:v>
                </c:pt>
                <c:pt idx="49">
                  <c:v>0.1</c:v>
                </c:pt>
                <c:pt idx="50">
                  <c:v>0.1</c:v>
                </c:pt>
              </c:numCache>
            </c:numRef>
          </c:xVal>
          <c:yVal>
            <c:numRef>
              <c:f>'9'!$B$45:$B$95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yVal>
        </c:ser>
        <c:axId val="110246144"/>
        <c:axId val="110272896"/>
      </c:scatterChart>
      <c:valAx>
        <c:axId val="110246144"/>
        <c:scaling>
          <c:orientation val="minMax"/>
          <c:max val="0.4"/>
        </c:scaling>
        <c:axPos val="b"/>
        <c:title>
          <c:tx>
            <c:rich>
              <a:bodyPr/>
              <a:lstStyle/>
              <a:p>
                <a:pPr>
                  <a:defRPr/>
                </a:pPr>
                <a:r>
                  <a:rPr lang="ja-JP" altLang="en-US"/>
                  <a:t>単位体積，単位時間当たりの吸水量 </a:t>
                </a:r>
                <a:r>
                  <a:rPr lang="en-US" altLang="ja-JP"/>
                  <a:t>r</a:t>
                </a:r>
                <a:r>
                  <a:rPr lang="en-US" altLang="ja-JP" baseline="-25000"/>
                  <a:t>w</a:t>
                </a:r>
                <a:r>
                  <a:rPr lang="en-US" altLang="ja-JP"/>
                  <a:t> [day</a:t>
                </a:r>
                <a:r>
                  <a:rPr lang="en-US" altLang="ja-JP" baseline="30000"/>
                  <a:t>-1</a:t>
                </a:r>
                <a:r>
                  <a:rPr lang="en-US" altLang="ja-JP"/>
                  <a:t>]</a:t>
                </a:r>
                <a:endParaRPr lang="ja-JP" altLang="en-US"/>
              </a:p>
            </c:rich>
          </c:tx>
        </c:title>
        <c:numFmt formatCode="General" sourceLinked="1"/>
        <c:majorTickMark val="none"/>
        <c:tickLblPos val="high"/>
        <c:crossAx val="110272896"/>
        <c:crosses val="autoZero"/>
        <c:crossBetween val="midCat"/>
      </c:valAx>
      <c:valAx>
        <c:axId val="110272896"/>
        <c:scaling>
          <c:orientation val="minMax"/>
        </c:scaling>
        <c:axPos val="l"/>
        <c:title>
          <c:tx>
            <c:rich>
              <a:bodyPr/>
              <a:lstStyle/>
              <a:p>
                <a:pPr>
                  <a:defRPr/>
                </a:pPr>
                <a:r>
                  <a:rPr lang="ja-JP" altLang="en-US"/>
                  <a:t>カラムの深さ </a:t>
                </a:r>
                <a:r>
                  <a:rPr lang="en-US" altLang="ja-JP"/>
                  <a:t>z [cm]</a:t>
                </a:r>
                <a:endParaRPr lang="ja-JP" altLang="en-US"/>
              </a:p>
            </c:rich>
          </c:tx>
        </c:title>
        <c:numFmt formatCode="General" sourceLinked="1"/>
        <c:majorTickMark val="none"/>
        <c:tickLblPos val="nextTo"/>
        <c:crossAx val="110246144"/>
        <c:crosses val="autoZero"/>
        <c:crossBetween val="midCat"/>
      </c:valAx>
      <c:spPr>
        <a:ln>
          <a:solidFill>
            <a:schemeClr val="tx1">
              <a:lumMod val="50000"/>
              <a:lumOff val="50000"/>
            </a:schemeClr>
          </a:solidFill>
        </a:ln>
      </c:spPr>
    </c:plotArea>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25005222056311321"/>
          <c:y val="5.2796115374916817E-2"/>
          <c:w val="0.69465912898168869"/>
          <c:h val="0.72488363112049814"/>
        </c:manualLayout>
      </c:layout>
      <c:scatterChart>
        <c:scatterStyle val="lineMarker"/>
        <c:ser>
          <c:idx val="0"/>
          <c:order val="0"/>
          <c:tx>
            <c:strRef>
              <c:f>'10'!$U$1</c:f>
              <c:strCache>
                <c:ptCount val="1"/>
                <c:pt idx="0">
                  <c:v>q</c:v>
                </c:pt>
              </c:strCache>
            </c:strRef>
          </c:tx>
          <c:marker>
            <c:symbol val="none"/>
          </c:marker>
          <c:xVal>
            <c:numRef>
              <c:f>'10'!$T$2:$T$52</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'10'!$U$2:$U$52</c:f>
              <c:numCache>
                <c:formatCode>General</c:formatCode>
                <c:ptCount val="51"/>
                <c:pt idx="0">
                  <c:v>0.4</c:v>
                </c:pt>
                <c:pt idx="1">
                  <c:v>0.21432139666478461</c:v>
                </c:pt>
                <c:pt idx="2">
                  <c:v>0.18027754226637804</c:v>
                </c:pt>
                <c:pt idx="3">
                  <c:v>0.16021047272016295</c:v>
                </c:pt>
                <c:pt idx="4">
                  <c:v>0.14592978175077687</c:v>
                </c:pt>
                <c:pt idx="5">
                  <c:v>0.13483475459704625</c:v>
                </c:pt>
                <c:pt idx="6">
                  <c:v>0.12576015332546725</c:v>
                </c:pt>
                <c:pt idx="7">
                  <c:v>0.11808226653331272</c:v>
                </c:pt>
                <c:pt idx="8">
                  <c:v>0.11142794384349924</c:v>
                </c:pt>
                <c:pt idx="9">
                  <c:v>0.10555610208335597</c:v>
                </c:pt>
                <c:pt idx="10">
                  <c:v>0.10030192863467152</c:v>
                </c:pt>
                <c:pt idx="11">
                  <c:v>9.554775622765771E-2</c:v>
                </c:pt>
                <c:pt idx="12">
                  <c:v>9.1206636494711946E-2</c:v>
                </c:pt>
                <c:pt idx="13">
                  <c:v>8.7212497912331655E-2</c:v>
                </c:pt>
                <c:pt idx="14">
                  <c:v>8.3513954723865136E-2</c:v>
                </c:pt>
                <c:pt idx="15">
                  <c:v>8.0070253273239633E-2</c:v>
                </c:pt>
                <c:pt idx="16">
                  <c:v>7.6848527153966506E-2</c:v>
                </c:pt>
                <c:pt idx="17">
                  <c:v>7.3821884692524375E-2</c:v>
                </c:pt>
                <c:pt idx="18">
                  <c:v>7.0968043135752557E-2</c:v>
                </c:pt>
                <c:pt idx="19">
                  <c:v>6.8268332106915686E-2</c:v>
                </c:pt>
                <c:pt idx="20">
                  <c:v>6.5706952646581995E-2</c:v>
                </c:pt>
                <c:pt idx="21">
                  <c:v>6.3270417001352608E-2</c:v>
                </c:pt>
                <c:pt idx="22">
                  <c:v>6.0947118703191028E-2</c:v>
                </c:pt>
                <c:pt idx="23">
                  <c:v>5.8726998187234647E-2</c:v>
                </c:pt>
                <c:pt idx="24">
                  <c:v>5.6601279551485362E-2</c:v>
                </c:pt>
                <c:pt idx="25">
                  <c:v>5.4562261034239001E-2</c:v>
                </c:pt>
                <c:pt idx="26">
                  <c:v>5.2603146569251524E-2</c:v>
                </c:pt>
                <c:pt idx="27">
                  <c:v>5.0717909118039584E-2</c:v>
                </c:pt>
                <c:pt idx="28">
                  <c:v>4.8901178846392002E-2</c:v>
                </c:pt>
                <c:pt idx="29">
                  <c:v>4.7148150915105436E-2</c:v>
                </c:pt>
                <c:pt idx="30">
                  <c:v>4.5454508896000834E-2</c:v>
                </c:pt>
                <c:pt idx="31">
                  <c:v>4.3816360739769633E-2</c:v>
                </c:pt>
                <c:pt idx="32">
                  <c:v>4.2230184905163282E-2</c:v>
                </c:pt>
                <c:pt idx="33">
                  <c:v>4.0692784773883717E-2</c:v>
                </c:pt>
                <c:pt idx="34">
                  <c:v>3.920124986742668E-2</c:v>
                </c:pt>
                <c:pt idx="35">
                  <c:v>3.775292268314967E-2</c:v>
                </c:pt>
                <c:pt idx="36">
                  <c:v>3.634537020002393E-2</c:v>
                </c:pt>
                <c:pt idx="37">
                  <c:v>3.4976359286610026E-2</c:v>
                </c:pt>
                <c:pt idx="38">
                  <c:v>3.3643835387035359E-2</c:v>
                </c:pt>
                <c:pt idx="39">
                  <c:v>3.2345903974228374E-2</c:v>
                </c:pt>
                <c:pt idx="40">
                  <c:v>3.1080814350164299E-2</c:v>
                </c:pt>
                <c:pt idx="41">
                  <c:v>2.9846945445495432E-2</c:v>
                </c:pt>
                <c:pt idx="42">
                  <c:v>2.8642793329569205E-2</c:v>
                </c:pt>
                <c:pt idx="43">
                  <c:v>2.7466960189423018E-2</c:v>
                </c:pt>
                <c:pt idx="44">
                  <c:v>2.6318144575189717E-2</c:v>
                </c:pt>
                <c:pt idx="45">
                  <c:v>2.519513274120222E-2</c:v>
                </c:pt>
                <c:pt idx="46">
                  <c:v>2.4096790938346102E-2</c:v>
                </c:pt>
                <c:pt idx="47">
                  <c:v>2.3022058534948486E-2</c:v>
                </c:pt>
                <c:pt idx="48">
                  <c:v>2.196994186157214E-2</c:v>
                </c:pt>
                <c:pt idx="49">
                  <c:v>2.0939508690182684E-2</c:v>
                </c:pt>
                <c:pt idx="50">
                  <c:v>1.9929883270813353E-2</c:v>
                </c:pt>
              </c:numCache>
            </c:numRef>
          </c:yVal>
        </c:ser>
        <c:axId val="111351680"/>
        <c:axId val="111362048"/>
      </c:scatterChart>
      <c:valAx>
        <c:axId val="111351680"/>
        <c:scaling>
          <c:orientation val="minMax"/>
        </c:scaling>
        <c:axPos val="b"/>
        <c:title>
          <c:tx>
            <c:rich>
              <a:bodyPr/>
              <a:lstStyle/>
              <a:p>
                <a:pPr>
                  <a:defRPr/>
                </a:pPr>
                <a:r>
                  <a:rPr lang="en-US"/>
                  <a:t>Elapsed time, t (day)</a:t>
                </a:r>
                <a:endParaRPr lang="ja-JP"/>
              </a:p>
            </c:rich>
          </c:tx>
        </c:title>
        <c:numFmt formatCode="General" sourceLinked="1"/>
        <c:majorTickMark val="in"/>
        <c:tickLblPos val="nextTo"/>
        <c:spPr>
          <a:ln>
            <a:solidFill>
              <a:sysClr val="windowText" lastClr="000000"/>
            </a:solidFill>
          </a:ln>
        </c:spPr>
        <c:crossAx val="111362048"/>
        <c:crossesAt val="-0.2"/>
        <c:crossBetween val="midCat"/>
      </c:valAx>
      <c:valAx>
        <c:axId val="111362048"/>
        <c:scaling>
          <c:orientation val="minMax"/>
          <c:max val="1"/>
          <c:min val="-0.2"/>
        </c:scaling>
        <c:axPos val="l"/>
        <c:title>
          <c:tx>
            <c:rich>
              <a:bodyPr rot="-5400000" vert="horz"/>
              <a:lstStyle/>
              <a:p>
                <a:pPr>
                  <a:defRPr/>
                </a:pPr>
                <a:r>
                  <a:rPr lang="en-US"/>
                  <a:t>Mean water content, </a:t>
                </a:r>
                <a:r>
                  <a:rPr lang="en-US">
                    <a:latin typeface="Symbol" pitchFamily="18" charset="2"/>
                  </a:rPr>
                  <a:t>q</a:t>
                </a:r>
                <a:r>
                  <a:rPr lang="en-US"/>
                  <a:t> (-) </a:t>
                </a:r>
                <a:endParaRPr lang="ja-JP"/>
              </a:p>
            </c:rich>
          </c:tx>
          <c:layout>
            <c:manualLayout>
              <c:xMode val="edge"/>
              <c:yMode val="edge"/>
              <c:x val="4.9247610262943498E-2"/>
              <c:y val="0.18935607554587142"/>
            </c:manualLayout>
          </c:layout>
        </c:title>
        <c:numFmt formatCode="General" sourceLinked="1"/>
        <c:majorTickMark val="in"/>
        <c:tickLblPos val="nextTo"/>
        <c:spPr>
          <a:ln>
            <a:solidFill>
              <a:sysClr val="windowText" lastClr="000000"/>
            </a:solidFill>
          </a:ln>
        </c:spPr>
        <c:crossAx val="111351680"/>
        <c:crossesAt val="0"/>
        <c:crossBetween val="midCat"/>
        <c:majorUnit val="0.2"/>
      </c:valAx>
      <c:spPr>
        <a:noFill/>
        <a:ln w="19050">
          <a:solidFill>
            <a:schemeClr val="tx1"/>
          </a:solidFill>
        </a:ln>
      </c:spPr>
    </c:plotArea>
    <c:plotVisOnly val="1"/>
    <c:dispBlanksAs val="gap"/>
  </c:chart>
  <c:spPr>
    <a:ln>
      <a:noFill/>
    </a:ln>
  </c:spPr>
  <c:txPr>
    <a:bodyPr/>
    <a:lstStyle/>
    <a:p>
      <a:pPr>
        <a:defRPr sz="1050">
          <a:latin typeface="Arial Unicode MS" pitchFamily="50" charset="-128"/>
          <a:ea typeface="Arial Unicode MS" pitchFamily="50" charset="-128"/>
          <a:cs typeface="Arial Unicode MS" pitchFamily="50" charset="-128"/>
        </a:defRPr>
      </a:pPr>
      <a:endParaRPr lang="ja-JP"/>
    </a:p>
  </c:txPr>
  <c:printSettings>
    <c:headerFooter/>
    <c:pageMargins b="0.75000000000000111" l="0.70000000000000062" r="0.70000000000000062" t="0.750000000000001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ja-JP"/>
  <c:chart>
    <c:autoTitleDeleted val="1"/>
    <c:plotArea>
      <c:layout/>
      <c:scatterChart>
        <c:scatterStyle val="lineMarker"/>
        <c:ser>
          <c:idx val="0"/>
          <c:order val="0"/>
          <c:tx>
            <c:strRef>
              <c:f>'10'!$U$1</c:f>
              <c:strCache>
                <c:ptCount val="1"/>
                <c:pt idx="0">
                  <c:v>q</c:v>
                </c:pt>
              </c:strCache>
            </c:strRef>
          </c:tx>
          <c:marker>
            <c:symbol val="none"/>
          </c:marker>
          <c:xVal>
            <c:numRef>
              <c:f>'10'!$V$2:$V$90</c:f>
              <c:numCache>
                <c:formatCode>General</c:formatCode>
                <c:ptCount val="89"/>
                <c:pt idx="0">
                  <c:v>0.01</c:v>
                </c:pt>
                <c:pt idx="1">
                  <c:v>0.02</c:v>
                </c:pt>
                <c:pt idx="2">
                  <c:v>0.03</c:v>
                </c:pt>
                <c:pt idx="3">
                  <c:v>0.04</c:v>
                </c:pt>
                <c:pt idx="4">
                  <c:v>0.05</c:v>
                </c:pt>
                <c:pt idx="5">
                  <c:v>6.0000000000000005E-2</c:v>
                </c:pt>
                <c:pt idx="6">
                  <c:v>7.0000000000000007E-2</c:v>
                </c:pt>
                <c:pt idx="7">
                  <c:v>0.08</c:v>
                </c:pt>
                <c:pt idx="8">
                  <c:v>0.09</c:v>
                </c:pt>
                <c:pt idx="9">
                  <c:v>9.9999999999999992E-2</c:v>
                </c:pt>
                <c:pt idx="10">
                  <c:v>0.10999999999999999</c:v>
                </c:pt>
                <c:pt idx="11">
                  <c:v>0.11999999999999998</c:v>
                </c:pt>
                <c:pt idx="12">
                  <c:v>0.12999999999999998</c:v>
                </c:pt>
                <c:pt idx="13">
                  <c:v>0.13999999999999999</c:v>
                </c:pt>
                <c:pt idx="14">
                  <c:v>0.15</c:v>
                </c:pt>
                <c:pt idx="15">
                  <c:v>0.16</c:v>
                </c:pt>
                <c:pt idx="16">
                  <c:v>0.17</c:v>
                </c:pt>
                <c:pt idx="17">
                  <c:v>0.18000000000000002</c:v>
                </c:pt>
                <c:pt idx="18">
                  <c:v>0.19000000000000003</c:v>
                </c:pt>
                <c:pt idx="19">
                  <c:v>0.20000000000000004</c:v>
                </c:pt>
                <c:pt idx="20">
                  <c:v>0.21000000000000005</c:v>
                </c:pt>
                <c:pt idx="21">
                  <c:v>0.22000000000000006</c:v>
                </c:pt>
                <c:pt idx="22">
                  <c:v>0.23000000000000007</c:v>
                </c:pt>
                <c:pt idx="23">
                  <c:v>0.24000000000000007</c:v>
                </c:pt>
                <c:pt idx="24">
                  <c:v>0.25000000000000006</c:v>
                </c:pt>
                <c:pt idx="25">
                  <c:v>0.26000000000000006</c:v>
                </c:pt>
                <c:pt idx="26">
                  <c:v>0.27000000000000007</c:v>
                </c:pt>
                <c:pt idx="27">
                  <c:v>0.28000000000000008</c:v>
                </c:pt>
                <c:pt idx="28">
                  <c:v>0.29000000000000009</c:v>
                </c:pt>
                <c:pt idx="29">
                  <c:v>0.3000000000000001</c:v>
                </c:pt>
                <c:pt idx="30">
                  <c:v>0.31000000000000011</c:v>
                </c:pt>
                <c:pt idx="31">
                  <c:v>0.32000000000000012</c:v>
                </c:pt>
                <c:pt idx="32">
                  <c:v>0.33000000000000013</c:v>
                </c:pt>
                <c:pt idx="33">
                  <c:v>0.34000000000000014</c:v>
                </c:pt>
                <c:pt idx="34">
                  <c:v>0.35000000000000014</c:v>
                </c:pt>
                <c:pt idx="35">
                  <c:v>0.36000000000000015</c:v>
                </c:pt>
                <c:pt idx="36">
                  <c:v>0.37000000000000016</c:v>
                </c:pt>
                <c:pt idx="37">
                  <c:v>0.38000000000000017</c:v>
                </c:pt>
                <c:pt idx="38">
                  <c:v>0.39000000000000018</c:v>
                </c:pt>
                <c:pt idx="39">
                  <c:v>0.40000000000000019</c:v>
                </c:pt>
                <c:pt idx="40">
                  <c:v>0.40000000000000019</c:v>
                </c:pt>
                <c:pt idx="41">
                  <c:v>0.40000000000000019</c:v>
                </c:pt>
                <c:pt idx="42">
                  <c:v>0.40000000000000019</c:v>
                </c:pt>
                <c:pt idx="43">
                  <c:v>0.40000000000000019</c:v>
                </c:pt>
                <c:pt idx="44">
                  <c:v>0.40000000000000019</c:v>
                </c:pt>
                <c:pt idx="45">
                  <c:v>0.40000000000000019</c:v>
                </c:pt>
                <c:pt idx="46">
                  <c:v>0.40000000000000019</c:v>
                </c:pt>
                <c:pt idx="47">
                  <c:v>0.40000000000000019</c:v>
                </c:pt>
                <c:pt idx="48">
                  <c:v>0.40000000000000019</c:v>
                </c:pt>
                <c:pt idx="49">
                  <c:v>0.40000000000000019</c:v>
                </c:pt>
                <c:pt idx="50">
                  <c:v>0.40000000000000019</c:v>
                </c:pt>
                <c:pt idx="51">
                  <c:v>0.40000000000000019</c:v>
                </c:pt>
                <c:pt idx="52">
                  <c:v>0.40000000000000019</c:v>
                </c:pt>
                <c:pt idx="53">
                  <c:v>0.40000000000000019</c:v>
                </c:pt>
                <c:pt idx="54">
                  <c:v>0.40000000000000019</c:v>
                </c:pt>
                <c:pt idx="55">
                  <c:v>0.40000000000000019</c:v>
                </c:pt>
                <c:pt idx="56">
                  <c:v>0.40000000000000019</c:v>
                </c:pt>
                <c:pt idx="57">
                  <c:v>0.40000000000000019</c:v>
                </c:pt>
                <c:pt idx="58">
                  <c:v>0.40000000000000019</c:v>
                </c:pt>
                <c:pt idx="59">
                  <c:v>0.40000000000000019</c:v>
                </c:pt>
                <c:pt idx="60">
                  <c:v>0.40000000000000019</c:v>
                </c:pt>
                <c:pt idx="61">
                  <c:v>0.40000000000000019</c:v>
                </c:pt>
                <c:pt idx="62">
                  <c:v>0.40000000000000019</c:v>
                </c:pt>
                <c:pt idx="63">
                  <c:v>0.40000000000000019</c:v>
                </c:pt>
                <c:pt idx="64">
                  <c:v>0.40000000000000019</c:v>
                </c:pt>
                <c:pt idx="65">
                  <c:v>0.40000000000000019</c:v>
                </c:pt>
                <c:pt idx="66">
                  <c:v>0.40000000000000019</c:v>
                </c:pt>
                <c:pt idx="67">
                  <c:v>0.40000000000000019</c:v>
                </c:pt>
                <c:pt idx="68">
                  <c:v>0.40000000000000019</c:v>
                </c:pt>
                <c:pt idx="69">
                  <c:v>0.40000000000000019</c:v>
                </c:pt>
                <c:pt idx="70">
                  <c:v>0.40000000000000019</c:v>
                </c:pt>
                <c:pt idx="71">
                  <c:v>0.40000000000000019</c:v>
                </c:pt>
                <c:pt idx="72">
                  <c:v>0.40000000000000019</c:v>
                </c:pt>
                <c:pt idx="73">
                  <c:v>0.40000000000000019</c:v>
                </c:pt>
                <c:pt idx="74">
                  <c:v>0.40000000000000019</c:v>
                </c:pt>
                <c:pt idx="75">
                  <c:v>0.40000000000000019</c:v>
                </c:pt>
                <c:pt idx="76">
                  <c:v>0.40000000000000019</c:v>
                </c:pt>
                <c:pt idx="77">
                  <c:v>0.40000000000000019</c:v>
                </c:pt>
                <c:pt idx="78">
                  <c:v>0.40000000000000019</c:v>
                </c:pt>
                <c:pt idx="79">
                  <c:v>0.40000000000000019</c:v>
                </c:pt>
                <c:pt idx="80">
                  <c:v>0.40000000000000019</c:v>
                </c:pt>
                <c:pt idx="81">
                  <c:v>0.40000000000000019</c:v>
                </c:pt>
                <c:pt idx="82">
                  <c:v>0.40000000000000019</c:v>
                </c:pt>
                <c:pt idx="83">
                  <c:v>0.40000000000000019</c:v>
                </c:pt>
                <c:pt idx="84">
                  <c:v>0.40000000000000019</c:v>
                </c:pt>
                <c:pt idx="85">
                  <c:v>0.40000000000000019</c:v>
                </c:pt>
                <c:pt idx="86">
                  <c:v>0.40000000000000019</c:v>
                </c:pt>
                <c:pt idx="87">
                  <c:v>0.40000000000000019</c:v>
                </c:pt>
                <c:pt idx="88">
                  <c:v>0.40000000000000019</c:v>
                </c:pt>
              </c:numCache>
            </c:numRef>
          </c:xVal>
          <c:yVal>
            <c:numRef>
              <c:f>'10'!$W$2:$W$90</c:f>
              <c:numCache>
                <c:formatCode>General</c:formatCode>
                <c:ptCount val="89"/>
                <c:pt idx="0">
                  <c:v>4.097349789797864E-2</c:v>
                </c:pt>
                <c:pt idx="1">
                  <c:v>5.0045143344061085E-2</c:v>
                </c:pt>
                <c:pt idx="2">
                  <c:v>6.1125276112957233E-2</c:v>
                </c:pt>
                <c:pt idx="3">
                  <c:v>7.4658580837667854E-2</c:v>
                </c:pt>
                <c:pt idx="4">
                  <c:v>9.1188196555451531E-2</c:v>
                </c:pt>
                <c:pt idx="5">
                  <c:v>0.11137751478448024</c:v>
                </c:pt>
                <c:pt idx="6">
                  <c:v>0.13603680375478927</c:v>
                </c:pt>
                <c:pt idx="7">
                  <c:v>0.16615572731739339</c:v>
                </c:pt>
                <c:pt idx="8">
                  <c:v>0.20294306362957323</c:v>
                </c:pt>
                <c:pt idx="9">
                  <c:v>0.24787521766663564</c:v>
                </c:pt>
                <c:pt idx="10">
                  <c:v>0.30275547453758128</c:v>
                </c:pt>
                <c:pt idx="11">
                  <c:v>0.36978637164829292</c:v>
                </c:pt>
                <c:pt idx="12">
                  <c:v>0.45165809426126657</c:v>
                </c:pt>
                <c:pt idx="13">
                  <c:v>0.55165644207607711</c:v>
                </c:pt>
                <c:pt idx="14">
                  <c:v>0.67379469990854668</c:v>
                </c:pt>
                <c:pt idx="15">
                  <c:v>0.82297470490200231</c:v>
                </c:pt>
                <c:pt idx="16">
                  <c:v>1.0051835744633575</c:v>
                </c:pt>
                <c:pt idx="17">
                  <c:v>1.2277339903068436</c:v>
                </c:pt>
                <c:pt idx="18">
                  <c:v>1.4995576820477703</c:v>
                </c:pt>
                <c:pt idx="19">
                  <c:v>1.8315638888734189</c:v>
                </c:pt>
                <c:pt idx="20">
                  <c:v>2.237077185616561</c:v>
                </c:pt>
                <c:pt idx="21">
                  <c:v>2.7323722447292584</c:v>
                </c:pt>
                <c:pt idx="22">
                  <c:v>3.3373269960326115</c:v>
                </c:pt>
                <c:pt idx="23">
                  <c:v>4.076220397836626</c:v>
                </c:pt>
                <c:pt idx="24">
                  <c:v>4.9787068367863982</c:v>
                </c:pt>
                <c:pt idx="25">
                  <c:v>6.0810062625218029</c:v>
                </c:pt>
                <c:pt idx="26">
                  <c:v>7.4273578214333975</c:v>
                </c:pt>
                <c:pt idx="27">
                  <c:v>9.0717953289412634</c:v>
                </c:pt>
                <c:pt idx="28">
                  <c:v>11.080315836233407</c:v>
                </c:pt>
                <c:pt idx="29">
                  <c:v>13.53352832366129</c:v>
                </c:pt>
                <c:pt idx="30">
                  <c:v>16.529888822158682</c:v>
                </c:pt>
                <c:pt idx="31">
                  <c:v>20.18965179946558</c:v>
                </c:pt>
                <c:pt idx="32">
                  <c:v>24.659696394160697</c:v>
                </c:pt>
                <c:pt idx="33">
                  <c:v>30.11942119122028</c:v>
                </c:pt>
                <c:pt idx="34">
                  <c:v>36.78794411714432</c:v>
                </c:pt>
                <c:pt idx="35">
                  <c:v>44.932896411722275</c:v>
                </c:pt>
                <c:pt idx="36">
                  <c:v>54.881163609402797</c:v>
                </c:pt>
                <c:pt idx="37">
                  <c:v>67.032004603564133</c:v>
                </c:pt>
                <c:pt idx="38">
                  <c:v>81.873075307798445</c:v>
                </c:pt>
                <c:pt idx="39">
                  <c:v>100.00000000000033</c:v>
                </c:pt>
                <c:pt idx="40">
                  <c:v>100.00000000000033</c:v>
                </c:pt>
                <c:pt idx="41">
                  <c:v>100.00000000000033</c:v>
                </c:pt>
                <c:pt idx="42">
                  <c:v>100.00000000000033</c:v>
                </c:pt>
                <c:pt idx="43">
                  <c:v>100.00000000000033</c:v>
                </c:pt>
                <c:pt idx="44">
                  <c:v>100.00000000000033</c:v>
                </c:pt>
                <c:pt idx="45">
                  <c:v>100.00000000000033</c:v>
                </c:pt>
                <c:pt idx="46">
                  <c:v>100.00000000000033</c:v>
                </c:pt>
                <c:pt idx="47">
                  <c:v>100.00000000000033</c:v>
                </c:pt>
                <c:pt idx="48">
                  <c:v>100.00000000000033</c:v>
                </c:pt>
                <c:pt idx="49">
                  <c:v>100.00000000000033</c:v>
                </c:pt>
                <c:pt idx="50">
                  <c:v>100.00000000000033</c:v>
                </c:pt>
                <c:pt idx="51">
                  <c:v>100.00000000000033</c:v>
                </c:pt>
                <c:pt idx="52">
                  <c:v>100.00000000000033</c:v>
                </c:pt>
                <c:pt idx="53">
                  <c:v>100.00000000000033</c:v>
                </c:pt>
                <c:pt idx="54">
                  <c:v>100.00000000000033</c:v>
                </c:pt>
                <c:pt idx="55">
                  <c:v>100.00000000000033</c:v>
                </c:pt>
                <c:pt idx="56">
                  <c:v>100.00000000000033</c:v>
                </c:pt>
                <c:pt idx="57">
                  <c:v>100.00000000000033</c:v>
                </c:pt>
                <c:pt idx="58">
                  <c:v>100.00000000000033</c:v>
                </c:pt>
                <c:pt idx="59">
                  <c:v>100.00000000000033</c:v>
                </c:pt>
                <c:pt idx="60">
                  <c:v>100.00000000000033</c:v>
                </c:pt>
                <c:pt idx="61">
                  <c:v>100.00000000000033</c:v>
                </c:pt>
                <c:pt idx="62">
                  <c:v>100.00000000000033</c:v>
                </c:pt>
                <c:pt idx="63">
                  <c:v>100.00000000000033</c:v>
                </c:pt>
                <c:pt idx="64">
                  <c:v>100.00000000000033</c:v>
                </c:pt>
                <c:pt idx="65">
                  <c:v>100.00000000000033</c:v>
                </c:pt>
                <c:pt idx="66">
                  <c:v>100.00000000000033</c:v>
                </c:pt>
                <c:pt idx="67">
                  <c:v>100.00000000000033</c:v>
                </c:pt>
                <c:pt idx="68">
                  <c:v>100.00000000000033</c:v>
                </c:pt>
                <c:pt idx="69">
                  <c:v>100.00000000000033</c:v>
                </c:pt>
                <c:pt idx="70">
                  <c:v>100.00000000000033</c:v>
                </c:pt>
                <c:pt idx="71">
                  <c:v>100.00000000000033</c:v>
                </c:pt>
                <c:pt idx="72">
                  <c:v>100.00000000000033</c:v>
                </c:pt>
                <c:pt idx="73">
                  <c:v>100.00000000000033</c:v>
                </c:pt>
                <c:pt idx="74">
                  <c:v>100.00000000000033</c:v>
                </c:pt>
                <c:pt idx="75">
                  <c:v>100.00000000000033</c:v>
                </c:pt>
                <c:pt idx="76">
                  <c:v>100.00000000000033</c:v>
                </c:pt>
                <c:pt idx="77">
                  <c:v>100.00000000000033</c:v>
                </c:pt>
                <c:pt idx="78">
                  <c:v>100.00000000000033</c:v>
                </c:pt>
                <c:pt idx="79">
                  <c:v>100.00000000000033</c:v>
                </c:pt>
                <c:pt idx="80">
                  <c:v>100.00000000000033</c:v>
                </c:pt>
                <c:pt idx="81">
                  <c:v>100.00000000000033</c:v>
                </c:pt>
                <c:pt idx="82">
                  <c:v>100.00000000000033</c:v>
                </c:pt>
                <c:pt idx="83">
                  <c:v>100.00000000000033</c:v>
                </c:pt>
                <c:pt idx="84">
                  <c:v>100.00000000000033</c:v>
                </c:pt>
                <c:pt idx="85">
                  <c:v>100.00000000000033</c:v>
                </c:pt>
                <c:pt idx="86">
                  <c:v>100.00000000000033</c:v>
                </c:pt>
                <c:pt idx="87">
                  <c:v>100.00000000000033</c:v>
                </c:pt>
                <c:pt idx="88">
                  <c:v>100.00000000000033</c:v>
                </c:pt>
              </c:numCache>
            </c:numRef>
          </c:yVal>
        </c:ser>
        <c:axId val="111551616"/>
        <c:axId val="111553536"/>
      </c:scatterChart>
      <c:valAx>
        <c:axId val="111551616"/>
        <c:scaling>
          <c:orientation val="minMax"/>
          <c:max val="0.60000000000000053"/>
          <c:min val="0"/>
        </c:scaling>
        <c:axPos val="b"/>
        <c:title>
          <c:tx>
            <c:rich>
              <a:bodyPr/>
              <a:lstStyle/>
              <a:p>
                <a:pPr>
                  <a:defRPr sz="1200"/>
                </a:pPr>
                <a:r>
                  <a:rPr lang="en-US" sz="1200"/>
                  <a:t>Volumetric water content, </a:t>
                </a:r>
                <a:r>
                  <a:rPr lang="en-US" sz="1200">
                    <a:latin typeface="Symbol" pitchFamily="18" charset="2"/>
                  </a:rPr>
                  <a:t>q</a:t>
                </a:r>
                <a:r>
                  <a:rPr lang="en-US" sz="1200"/>
                  <a:t> (-)</a:t>
                </a:r>
                <a:endParaRPr lang="ja-JP" sz="1200"/>
              </a:p>
            </c:rich>
          </c:tx>
        </c:title>
        <c:numFmt formatCode="General" sourceLinked="1"/>
        <c:majorTickMark val="in"/>
        <c:tickLblPos val="nextTo"/>
        <c:spPr>
          <a:ln>
            <a:solidFill>
              <a:sysClr val="windowText" lastClr="000000"/>
            </a:solidFill>
          </a:ln>
        </c:spPr>
        <c:crossAx val="111553536"/>
        <c:crossesAt val="1.0000000000000011E-3"/>
        <c:crossBetween val="midCat"/>
        <c:majorUnit val="0.1"/>
      </c:valAx>
      <c:valAx>
        <c:axId val="111553536"/>
        <c:scaling>
          <c:logBase val="10"/>
          <c:orientation val="minMax"/>
          <c:max val="1000"/>
          <c:min val="1.0000000000000011E-3"/>
        </c:scaling>
        <c:axPos val="l"/>
        <c:title>
          <c:tx>
            <c:rich>
              <a:bodyPr rot="-5400000" vert="horz"/>
              <a:lstStyle/>
              <a:p>
                <a:pPr>
                  <a:defRPr sz="1200"/>
                </a:pPr>
                <a:r>
                  <a:rPr lang="en-US" sz="1200"/>
                  <a:t>Hydraulic conductivity, K  (cm/d)</a:t>
                </a:r>
                <a:endParaRPr lang="ja-JP" sz="1200"/>
              </a:p>
            </c:rich>
          </c:tx>
          <c:layout>
            <c:manualLayout>
              <c:xMode val="edge"/>
              <c:yMode val="edge"/>
              <c:x val="2.9548566157766073E-2"/>
              <c:y val="0.12250398617405858"/>
            </c:manualLayout>
          </c:layout>
        </c:title>
        <c:numFmt formatCode="General" sourceLinked="1"/>
        <c:majorTickMark val="in"/>
        <c:tickLblPos val="nextTo"/>
        <c:spPr>
          <a:ln>
            <a:solidFill>
              <a:sysClr val="windowText" lastClr="000000"/>
            </a:solidFill>
          </a:ln>
        </c:spPr>
        <c:crossAx val="111551616"/>
        <c:crossesAt val="0"/>
        <c:crossBetween val="midCat"/>
      </c:valAx>
      <c:spPr>
        <a:ln w="19050">
          <a:solidFill>
            <a:schemeClr val="tx1"/>
          </a:solidFill>
        </a:ln>
      </c:spPr>
    </c:plotArea>
    <c:plotVisOnly val="1"/>
    <c:dispBlanksAs val="gap"/>
  </c:chart>
  <c:spPr>
    <a:ln>
      <a:noFill/>
    </a:ln>
  </c:spPr>
  <c:txPr>
    <a:bodyPr/>
    <a:lstStyle/>
    <a:p>
      <a:pPr>
        <a:defRPr sz="1050">
          <a:latin typeface="Arial Unicode MS" pitchFamily="50" charset="-128"/>
          <a:ea typeface="Arial Unicode MS" pitchFamily="50" charset="-128"/>
          <a:cs typeface="Arial Unicode MS" pitchFamily="50" charset="-128"/>
        </a:defRPr>
      </a:pPr>
      <a:endParaRPr lang="ja-JP"/>
    </a:p>
  </c:txPr>
  <c:printSettings>
    <c:headerFooter/>
    <c:pageMargins b="0.75000000000000133" l="0.70000000000000062" r="0.70000000000000062" t="0.750000000000001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14843574461326295"/>
          <c:y val="4.4442375983505228E-2"/>
          <c:w val="0.71064858755530091"/>
          <c:h val="0.773661220643582"/>
        </c:manualLayout>
      </c:layout>
      <c:scatterChart>
        <c:scatterStyle val="lineMarker"/>
        <c:ser>
          <c:idx val="0"/>
          <c:order val="0"/>
          <c:tx>
            <c:strRef>
              <c:f>'11_12'!$B$124</c:f>
              <c:strCache>
                <c:ptCount val="1"/>
                <c:pt idx="0">
                  <c:v>Ks(変水位) </c:v>
                </c:pt>
              </c:strCache>
            </c:strRef>
          </c:tx>
          <c:marker>
            <c:symbol val="none"/>
          </c:marker>
          <c:xVal>
            <c:numRef>
              <c:f>'11_12'!$A$125:$A$224</c:f>
              <c:numCache>
                <c:formatCode>General</c:formatCode>
                <c:ptCount val="100"/>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numCache>
            </c:numRef>
          </c:xVal>
          <c:yVal>
            <c:numRef>
              <c:f>'11_12'!$B$125:$B$224</c:f>
              <c:numCache>
                <c:formatCode>General</c:formatCode>
                <c:ptCount val="100"/>
                <c:pt idx="0">
                  <c:v>18.232155679395458</c:v>
                </c:pt>
                <c:pt idx="1">
                  <c:v>18.216360654717004</c:v>
                </c:pt>
                <c:pt idx="2">
                  <c:v>18.200280287919099</c:v>
                </c:pt>
                <c:pt idx="3">
                  <c:v>18.183906760554205</c:v>
                </c:pt>
                <c:pt idx="4">
                  <c:v>18.167231965298718</c:v>
                </c:pt>
                <c:pt idx="5">
                  <c:v>18.150247492457375</c:v>
                </c:pt>
                <c:pt idx="6">
                  <c:v>18.132944615702215</c:v>
                </c:pt>
                <c:pt idx="7">
                  <c:v>18.115314276994873</c:v>
                </c:pt>
                <c:pt idx="8">
                  <c:v>18.097347070636996</c:v>
                </c:pt>
                <c:pt idx="9">
                  <c:v>18.079033226389061</c:v>
                </c:pt>
                <c:pt idx="10">
                  <c:v>18.060362591593613</c:v>
                </c:pt>
                <c:pt idx="11">
                  <c:v>18.04132461223335</c:v>
                </c:pt>
                <c:pt idx="12">
                  <c:v>18.021908312849163</c:v>
                </c:pt>
                <c:pt idx="13">
                  <c:v>18.00210227523705</c:v>
                </c:pt>
                <c:pt idx="14">
                  <c:v>17.981894615836108</c:v>
                </c:pt>
                <c:pt idx="15">
                  <c:v>17.961272961712591</c:v>
                </c:pt>
                <c:pt idx="16">
                  <c:v>17.940224425036963</c:v>
                </c:pt>
                <c:pt idx="17">
                  <c:v>17.918735575942147</c:v>
                </c:pt>
                <c:pt idx="18">
                  <c:v>17.896792413641474</c:v>
                </c:pt>
                <c:pt idx="19">
                  <c:v>17.874380335674473</c:v>
                </c:pt>
                <c:pt idx="20">
                  <c:v>17.85148410513678</c:v>
                </c:pt>
                <c:pt idx="21">
                  <c:v>17.828087815737909</c:v>
                </c:pt>
                <c:pt idx="22">
                  <c:v>17.804174854516454</c:v>
                </c:pt>
                <c:pt idx="23">
                  <c:v>17.779727862026824</c:v>
                </c:pt>
                <c:pt idx="24">
                  <c:v>17.754728689794387</c:v>
                </c:pt>
                <c:pt idx="25">
                  <c:v>17.729158354817276</c:v>
                </c:pt>
                <c:pt idx="26">
                  <c:v>17.702996990871721</c:v>
                </c:pt>
                <c:pt idx="27">
                  <c:v>17.676223796355131</c:v>
                </c:pt>
                <c:pt idx="28">
                  <c:v>17.648816978374914</c:v>
                </c:pt>
                <c:pt idx="29">
                  <c:v>17.620753692762964</c:v>
                </c:pt>
                <c:pt idx="30">
                  <c:v>17.59200997966343</c:v>
                </c:pt>
                <c:pt idx="31">
                  <c:v>17.562560694306747</c:v>
                </c:pt>
                <c:pt idx="32">
                  <c:v>17.53237943254279</c:v>
                </c:pt>
                <c:pt idx="33">
                  <c:v>17.501438450662381</c:v>
                </c:pt>
                <c:pt idx="34">
                  <c:v>17.469708578987422</c:v>
                </c:pt>
                <c:pt idx="35">
                  <c:v>17.437159128654159</c:v>
                </c:pt>
                <c:pt idx="36">
                  <c:v>17.403757790953073</c:v>
                </c:pt>
                <c:pt idx="37">
                  <c:v>17.369470528519109</c:v>
                </c:pt>
                <c:pt idx="38">
                  <c:v>17.334261457588013</c:v>
                </c:pt>
                <c:pt idx="39">
                  <c:v>17.298092720446775</c:v>
                </c:pt>
                <c:pt idx="40">
                  <c:v>17.260924347106851</c:v>
                </c:pt>
                <c:pt idx="41">
                  <c:v>17.222714105116818</c:v>
                </c:pt>
                <c:pt idx="42">
                  <c:v>17.183417336304</c:v>
                </c:pt>
                <c:pt idx="43">
                  <c:v>17.14298677909062</c:v>
                </c:pt>
                <c:pt idx="44">
                  <c:v>17.101372374866187</c:v>
                </c:pt>
                <c:pt idx="45">
                  <c:v>17.058521056711168</c:v>
                </c:pt>
                <c:pt idx="46">
                  <c:v>17.014376518554354</c:v>
                </c:pt>
                <c:pt idx="47">
                  <c:v>16.968878962602268</c:v>
                </c:pt>
                <c:pt idx="48">
                  <c:v>16.921964822600653</c:v>
                </c:pt>
                <c:pt idx="49">
                  <c:v>16.873566460166472</c:v>
                </c:pt>
                <c:pt idx="50">
                  <c:v>16.823611831060646</c:v>
                </c:pt>
                <c:pt idx="51">
                  <c:v>16.772024117845007</c:v>
                </c:pt>
                <c:pt idx="52">
                  <c:v>16.718721324874359</c:v>
                </c:pt>
                <c:pt idx="53">
                  <c:v>16.663615831002652</c:v>
                </c:pt>
                <c:pt idx="54">
                  <c:v>16.606613894717203</c:v>
                </c:pt>
                <c:pt idx="55">
                  <c:v>16.547615105639281</c:v>
                </c:pt>
                <c:pt idx="56">
                  <c:v>16.48651177542207</c:v>
                </c:pt>
                <c:pt idx="57">
                  <c:v>16.423188260012722</c:v>
                </c:pt>
                <c:pt idx="58">
                  <c:v>16.357520203992379</c:v>
                </c:pt>
                <c:pt idx="59">
                  <c:v>16.289373696229141</c:v>
                </c:pt>
                <c:pt idx="60">
                  <c:v>16.218604324326577</c:v>
                </c:pt>
                <c:pt idx="61">
                  <c:v>16.145056113266847</c:v>
                </c:pt>
                <c:pt idx="62">
                  <c:v>16.068560331161276</c:v>
                </c:pt>
                <c:pt idx="63">
                  <c:v>15.988934142042053</c:v>
                </c:pt>
                <c:pt idx="64">
                  <c:v>15.905979082045413</c:v>
                </c:pt>
                <c:pt idx="65">
                  <c:v>15.819479331007003</c:v>
                </c:pt>
                <c:pt idx="66">
                  <c:v>15.729199746235841</c:v>
                </c:pt>
                <c:pt idx="67">
                  <c:v>15.634883618826169</c:v>
                </c:pt>
                <c:pt idx="68">
                  <c:v>15.536250105014426</c:v>
                </c:pt>
                <c:pt idx="69">
                  <c:v>15.432991275414567</c:v>
                </c:pt>
                <c:pt idx="70">
                  <c:v>15.324768712979722</c:v>
                </c:pt>
                <c:pt idx="71">
                  <c:v>15.211209575600426</c:v>
                </c:pt>
                <c:pt idx="72">
                  <c:v>15.091902020515233</c:v>
                </c:pt>
                <c:pt idx="73">
                  <c:v>14.966389864054698</c:v>
                </c:pt>
                <c:pt idx="74">
                  <c:v>14.834166320157937</c:v>
                </c:pt>
                <c:pt idx="75">
                  <c:v>14.694666622552976</c:v>
                </c:pt>
                <c:pt idx="76">
                  <c:v>14.547259285687572</c:v>
                </c:pt>
                <c:pt idx="77">
                  <c:v>14.391235694581495</c:v>
                </c:pt>
                <c:pt idx="78">
                  <c:v>14.225797628351154</c:v>
                </c:pt>
                <c:pt idx="79">
                  <c:v>14.050042208598581</c:v>
                </c:pt>
                <c:pt idx="80">
                  <c:v>13.862943611198906</c:v>
                </c:pt>
                <c:pt idx="81">
                  <c:v>13.663330672300916</c:v>
                </c:pt>
                <c:pt idx="82">
                  <c:v>13.449859232943981</c:v>
                </c:pt>
                <c:pt idx="83">
                  <c:v>13.220977665996141</c:v>
                </c:pt>
                <c:pt idx="84">
                  <c:v>12.97488345946126</c:v>
                </c:pt>
                <c:pt idx="85">
                  <c:v>12.709467905808054</c:v>
                </c:pt>
                <c:pt idx="86">
                  <c:v>12.422244730012638</c:v>
                </c:pt>
                <c:pt idx="87">
                  <c:v>12.110256652064265</c:v>
                </c:pt>
                <c:pt idx="88">
                  <c:v>11.769951036140714</c:v>
                </c:pt>
                <c:pt idx="89">
                  <c:v>11.397011248554534</c:v>
                </c:pt>
                <c:pt idx="90">
                  <c:v>10.986122886681098</c:v>
                </c:pt>
                <c:pt idx="91">
                  <c:v>10.530641273852291</c:v>
                </c:pt>
                <c:pt idx="92">
                  <c:v>10.022103747962944</c:v>
                </c:pt>
                <c:pt idx="93">
                  <c:v>9.4494870186431115</c:v>
                </c:pt>
                <c:pt idx="94">
                  <c:v>8.7980224127605613</c:v>
                </c:pt>
                <c:pt idx="95">
                  <c:v>8.0471895621705016</c:v>
                </c:pt>
                <c:pt idx="96">
                  <c:v>7.1670378769122198</c:v>
                </c:pt>
                <c:pt idx="97">
                  <c:v>6.1106457817831199</c:v>
                </c:pt>
                <c:pt idx="98">
                  <c:v>4.7957905455967413</c:v>
                </c:pt>
                <c:pt idx="99">
                  <c:v>3.044522437723423</c:v>
                </c:pt>
              </c:numCache>
            </c:numRef>
          </c:yVal>
        </c:ser>
        <c:ser>
          <c:idx val="1"/>
          <c:order val="1"/>
          <c:tx>
            <c:strRef>
              <c:f>'11_12'!$C$124</c:f>
              <c:strCache>
                <c:ptCount val="1"/>
                <c:pt idx="0">
                  <c:v>Ks(定水位)</c:v>
                </c:pt>
              </c:strCache>
            </c:strRef>
          </c:tx>
          <c:spPr>
            <a:ln>
              <a:solidFill>
                <a:schemeClr val="accent1">
                  <a:lumMod val="60000"/>
                  <a:lumOff val="40000"/>
                </a:schemeClr>
              </a:solidFill>
            </a:ln>
          </c:spPr>
          <c:marker>
            <c:symbol val="none"/>
          </c:marker>
          <c:xVal>
            <c:numRef>
              <c:f>'11_12'!$A$125:$A$224</c:f>
              <c:numCache>
                <c:formatCode>General</c:formatCode>
                <c:ptCount val="100"/>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numCache>
            </c:numRef>
          </c:xVal>
          <c:yVal>
            <c:numRef>
              <c:f>'11_12'!$C$125:$C$224</c:f>
              <c:numCache>
                <c:formatCode>General</c:formatCode>
                <c:ptCount val="100"/>
                <c:pt idx="0">
                  <c:v>18.181818181818183</c:v>
                </c:pt>
                <c:pt idx="1">
                  <c:v>18.165137614678898</c:v>
                </c:pt>
                <c:pt idx="2">
                  <c:v>18.148148148148149</c:v>
                </c:pt>
                <c:pt idx="3">
                  <c:v>18.130841121495326</c:v>
                </c:pt>
                <c:pt idx="4">
                  <c:v>18.113207547169811</c:v>
                </c:pt>
                <c:pt idx="5">
                  <c:v>18.095238095238095</c:v>
                </c:pt>
                <c:pt idx="6">
                  <c:v>18.076923076923077</c:v>
                </c:pt>
                <c:pt idx="7">
                  <c:v>18.058252427184467</c:v>
                </c:pt>
                <c:pt idx="8">
                  <c:v>18.03921568627451</c:v>
                </c:pt>
                <c:pt idx="9">
                  <c:v>18.019801980198018</c:v>
                </c:pt>
                <c:pt idx="10">
                  <c:v>18</c:v>
                </c:pt>
                <c:pt idx="11">
                  <c:v>17.979797979797979</c:v>
                </c:pt>
                <c:pt idx="12">
                  <c:v>17.959183673469386</c:v>
                </c:pt>
                <c:pt idx="13">
                  <c:v>17.938144329896907</c:v>
                </c:pt>
                <c:pt idx="14">
                  <c:v>17.916666666666668</c:v>
                </c:pt>
                <c:pt idx="15">
                  <c:v>17.894736842105264</c:v>
                </c:pt>
                <c:pt idx="16">
                  <c:v>17.872340425531913</c:v>
                </c:pt>
                <c:pt idx="17">
                  <c:v>17.849462365591396</c:v>
                </c:pt>
                <c:pt idx="18">
                  <c:v>17.826086956521738</c:v>
                </c:pt>
                <c:pt idx="19">
                  <c:v>17.802197802197803</c:v>
                </c:pt>
                <c:pt idx="20">
                  <c:v>17.777777777777779</c:v>
                </c:pt>
                <c:pt idx="21">
                  <c:v>17.752808988764045</c:v>
                </c:pt>
                <c:pt idx="22">
                  <c:v>17.727272727272727</c:v>
                </c:pt>
                <c:pt idx="23">
                  <c:v>17.701149425287355</c:v>
                </c:pt>
                <c:pt idx="24">
                  <c:v>17.674418604651162</c:v>
                </c:pt>
                <c:pt idx="25">
                  <c:v>17.647058823529413</c:v>
                </c:pt>
                <c:pt idx="26">
                  <c:v>17.61904761904762</c:v>
                </c:pt>
                <c:pt idx="27">
                  <c:v>17.590361445783131</c:v>
                </c:pt>
                <c:pt idx="28">
                  <c:v>17.560975609756099</c:v>
                </c:pt>
                <c:pt idx="29">
                  <c:v>17.530864197530864</c:v>
                </c:pt>
                <c:pt idx="30">
                  <c:v>17.5</c:v>
                </c:pt>
                <c:pt idx="31">
                  <c:v>17.468354430379748</c:v>
                </c:pt>
                <c:pt idx="32">
                  <c:v>17.435897435897434</c:v>
                </c:pt>
                <c:pt idx="33">
                  <c:v>17.402597402597401</c:v>
                </c:pt>
                <c:pt idx="34">
                  <c:v>17.368421052631579</c:v>
                </c:pt>
                <c:pt idx="35">
                  <c:v>17.333333333333332</c:v>
                </c:pt>
                <c:pt idx="36">
                  <c:v>17.297297297297298</c:v>
                </c:pt>
                <c:pt idx="37">
                  <c:v>17.260273972602739</c:v>
                </c:pt>
                <c:pt idx="38">
                  <c:v>17.222222222222221</c:v>
                </c:pt>
                <c:pt idx="39">
                  <c:v>17.183098591549296</c:v>
                </c:pt>
                <c:pt idx="40">
                  <c:v>17.142857142857142</c:v>
                </c:pt>
                <c:pt idx="41">
                  <c:v>17.10144927536232</c:v>
                </c:pt>
                <c:pt idx="42">
                  <c:v>17.058823529411764</c:v>
                </c:pt>
                <c:pt idx="43">
                  <c:v>17.014925373134329</c:v>
                </c:pt>
                <c:pt idx="44">
                  <c:v>16.969696969696969</c:v>
                </c:pt>
                <c:pt idx="45">
                  <c:v>16.923076923076923</c:v>
                </c:pt>
                <c:pt idx="46">
                  <c:v>16.875</c:v>
                </c:pt>
                <c:pt idx="47">
                  <c:v>16.825396825396826</c:v>
                </c:pt>
                <c:pt idx="48">
                  <c:v>16.774193548387096</c:v>
                </c:pt>
                <c:pt idx="49">
                  <c:v>16.721311475409838</c:v>
                </c:pt>
                <c:pt idx="50">
                  <c:v>16.666666666666668</c:v>
                </c:pt>
                <c:pt idx="51">
                  <c:v>16.610169491525422</c:v>
                </c:pt>
                <c:pt idx="52">
                  <c:v>16.551724137931036</c:v>
                </c:pt>
                <c:pt idx="53">
                  <c:v>16.491228070175438</c:v>
                </c:pt>
                <c:pt idx="54">
                  <c:v>16.428571428571427</c:v>
                </c:pt>
                <c:pt idx="55">
                  <c:v>16.363636363636363</c:v>
                </c:pt>
                <c:pt idx="56">
                  <c:v>16.296296296296298</c:v>
                </c:pt>
                <c:pt idx="57">
                  <c:v>16.226415094339622</c:v>
                </c:pt>
                <c:pt idx="58">
                  <c:v>16.153846153846153</c:v>
                </c:pt>
                <c:pt idx="59">
                  <c:v>16.078431372549019</c:v>
                </c:pt>
                <c:pt idx="60">
                  <c:v>16</c:v>
                </c:pt>
                <c:pt idx="61">
                  <c:v>15.918367346938776</c:v>
                </c:pt>
                <c:pt idx="62">
                  <c:v>15.833333333333334</c:v>
                </c:pt>
                <c:pt idx="63">
                  <c:v>15.74468085106383</c:v>
                </c:pt>
                <c:pt idx="64">
                  <c:v>15.652173913043478</c:v>
                </c:pt>
                <c:pt idx="65">
                  <c:v>15.555555555555555</c:v>
                </c:pt>
                <c:pt idx="66">
                  <c:v>15.454545454545455</c:v>
                </c:pt>
                <c:pt idx="67">
                  <c:v>15.348837209302326</c:v>
                </c:pt>
                <c:pt idx="68">
                  <c:v>15.238095238095237</c:v>
                </c:pt>
                <c:pt idx="69">
                  <c:v>15.121951219512194</c:v>
                </c:pt>
                <c:pt idx="70">
                  <c:v>15</c:v>
                </c:pt>
                <c:pt idx="71">
                  <c:v>14.871794871794872</c:v>
                </c:pt>
                <c:pt idx="72">
                  <c:v>14.736842105263158</c:v>
                </c:pt>
                <c:pt idx="73">
                  <c:v>14.594594594594595</c:v>
                </c:pt>
                <c:pt idx="74">
                  <c:v>14.444444444444445</c:v>
                </c:pt>
                <c:pt idx="75">
                  <c:v>14.285714285714286</c:v>
                </c:pt>
                <c:pt idx="76">
                  <c:v>14.117647058823529</c:v>
                </c:pt>
                <c:pt idx="77">
                  <c:v>13.939393939393939</c:v>
                </c:pt>
                <c:pt idx="78">
                  <c:v>13.75</c:v>
                </c:pt>
                <c:pt idx="79">
                  <c:v>13.548387096774194</c:v>
                </c:pt>
                <c:pt idx="80">
                  <c:v>13.333333333333334</c:v>
                </c:pt>
                <c:pt idx="81">
                  <c:v>13.103448275862069</c:v>
                </c:pt>
                <c:pt idx="82">
                  <c:v>12.857142857142858</c:v>
                </c:pt>
                <c:pt idx="83">
                  <c:v>12.592592592592593</c:v>
                </c:pt>
                <c:pt idx="84">
                  <c:v>12.307692307692308</c:v>
                </c:pt>
                <c:pt idx="85">
                  <c:v>12</c:v>
                </c:pt>
                <c:pt idx="86">
                  <c:v>11.666666666666666</c:v>
                </c:pt>
                <c:pt idx="87">
                  <c:v>11.304347826086957</c:v>
                </c:pt>
                <c:pt idx="88">
                  <c:v>10.909090909090908</c:v>
                </c:pt>
                <c:pt idx="89">
                  <c:v>10.476190476190476</c:v>
                </c:pt>
                <c:pt idx="90">
                  <c:v>10</c:v>
                </c:pt>
                <c:pt idx="91">
                  <c:v>9.473684210526315</c:v>
                </c:pt>
                <c:pt idx="92">
                  <c:v>8.8888888888888893</c:v>
                </c:pt>
                <c:pt idx="93">
                  <c:v>8.235294117647058</c:v>
                </c:pt>
                <c:pt idx="94">
                  <c:v>7.5</c:v>
                </c:pt>
                <c:pt idx="95">
                  <c:v>6.666666666666667</c:v>
                </c:pt>
                <c:pt idx="96">
                  <c:v>5.7142857142857144</c:v>
                </c:pt>
                <c:pt idx="97">
                  <c:v>4.615384615384615</c:v>
                </c:pt>
                <c:pt idx="98">
                  <c:v>3.3333333333333335</c:v>
                </c:pt>
                <c:pt idx="99">
                  <c:v>1.8181818181818181</c:v>
                </c:pt>
              </c:numCache>
            </c:numRef>
          </c:yVal>
        </c:ser>
        <c:axId val="113482752"/>
        <c:axId val="113493120"/>
      </c:scatterChart>
      <c:scatterChart>
        <c:scatterStyle val="lineMarker"/>
        <c:ser>
          <c:idx val="2"/>
          <c:order val="2"/>
          <c:tx>
            <c:v>誤差</c:v>
          </c:tx>
          <c:marker>
            <c:symbol val="none"/>
          </c:marker>
          <c:xVal>
            <c:numRef>
              <c:f>'11_12'!$A$125:$A$224</c:f>
              <c:numCache>
                <c:formatCode>General</c:formatCode>
                <c:ptCount val="100"/>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numCache>
            </c:numRef>
          </c:xVal>
          <c:yVal>
            <c:numRef>
              <c:f>'11_12'!$E$125:$E$224</c:f>
              <c:numCache>
                <c:formatCode>General</c:formatCode>
                <c:ptCount val="100"/>
                <c:pt idx="0">
                  <c:v>0.27609185914401668</c:v>
                </c:pt>
                <c:pt idx="1">
                  <c:v>0.28119250057141654</c:v>
                </c:pt>
                <c:pt idx="2">
                  <c:v>0.28643591717405964</c:v>
                </c:pt>
                <c:pt idx="3">
                  <c:v>0.2918274920656353</c:v>
                </c:pt>
                <c:pt idx="4">
                  <c:v>0.29737286468351243</c:v>
                </c:pt>
                <c:pt idx="5">
                  <c:v>0.30307794558801365</c:v>
                </c:pt>
                <c:pt idx="6">
                  <c:v>0.30894893226898318</c:v>
                </c:pt>
                <c:pt idx="7">
                  <c:v>0.31499232603913729</c:v>
                </c:pt>
                <c:pt idx="8">
                  <c:v>0.32121495010063977</c:v>
                </c:pt>
                <c:pt idx="9">
                  <c:v>0.32762396887786149</c:v>
                </c:pt>
                <c:pt idx="10">
                  <c:v>0.33422690872058791</c:v>
                </c:pt>
                <c:pt idx="11">
                  <c:v>0.34103168008878287</c:v>
                </c:pt>
                <c:pt idx="12">
                  <c:v>0.34804660134163384</c:v>
                </c:pt>
                <c:pt idx="13">
                  <c:v>0.35528042426533896</c:v>
                </c:pt>
                <c:pt idx="14">
                  <c:v>0.36274236148617961</c:v>
                </c:pt>
                <c:pt idx="15">
                  <c:v>0.37044211592998133</c:v>
                </c:pt>
                <c:pt idx="16">
                  <c:v>0.37838991250472981</c:v>
                </c:pt>
                <c:pt idx="17">
                  <c:v>0.38659653220039575</c:v>
                </c:pt>
                <c:pt idx="18">
                  <c:v>0.39507334881887696</c:v>
                </c:pt>
                <c:pt idx="19">
                  <c:v>0.4038323685694743</c:v>
                </c:pt>
                <c:pt idx="20">
                  <c:v>0.41288627278777718</c:v>
                </c:pt>
                <c:pt idx="21">
                  <c:v>0.42224846406360739</c:v>
                </c:pt>
                <c:pt idx="22">
                  <c:v>0.43193311609281954</c:v>
                </c:pt>
                <c:pt idx="23">
                  <c:v>0.44195522760105999</c:v>
                </c:pt>
                <c:pt idx="24">
                  <c:v>0.452330680723879</c:v>
                </c:pt>
                <c:pt idx="25">
                  <c:v>0.46307630427112351</c:v>
                </c:pt>
                <c:pt idx="26">
                  <c:v>0.47420994234698283</c:v>
                </c:pt>
                <c:pt idx="27">
                  <c:v>0.48575052885280501</c:v>
                </c:pt>
                <c:pt idx="28">
                  <c:v>0.49771816845540762</c:v>
                </c:pt>
                <c:pt idx="29">
                  <c:v>0.51013422467291336</c:v>
                </c:pt>
                <c:pt idx="30">
                  <c:v>0.52302141580066752</c:v>
                </c:pt>
                <c:pt idx="31">
                  <c:v>0.53640391948958777</c:v>
                </c:pt>
                <c:pt idx="32">
                  <c:v>0.5503074868792196</c:v>
                </c:pt>
                <c:pt idx="33">
                  <c:v>0.56475956729853183</c:v>
                </c:pt>
                <c:pt idx="34">
                  <c:v>0.57978944467151672</c:v>
                </c:pt>
                <c:pt idx="35">
                  <c:v>0.59542838689939803</c:v>
                </c:pt>
                <c:pt idx="36">
                  <c:v>0.61170980965452881</c:v>
                </c:pt>
                <c:pt idx="37">
                  <c:v>0.62866945619947789</c:v>
                </c:pt>
                <c:pt idx="38">
                  <c:v>0.6463455950512802</c:v>
                </c:pt>
                <c:pt idx="39">
                  <c:v>0.66477923754884727</c:v>
                </c:pt>
                <c:pt idx="40">
                  <c:v>0.68401437765120721</c:v>
                </c:pt>
                <c:pt idx="41">
                  <c:v>0.70409825660678305</c:v>
                </c:pt>
                <c:pt idx="42">
                  <c:v>0.72508165549236825</c:v>
                </c:pt>
                <c:pt idx="43">
                  <c:v>0.74701921903415647</c:v>
                </c:pt>
                <c:pt idx="44">
                  <c:v>0.7699698146023729</c:v>
                </c:pt>
                <c:pt idx="45">
                  <c:v>0.79399693082395451</c:v>
                </c:pt>
                <c:pt idx="46">
                  <c:v>0.81916912090409</c:v>
                </c:pt>
                <c:pt idx="47">
                  <c:v>0.84556049649280107</c:v>
                </c:pt>
                <c:pt idx="48">
                  <c:v>0.87325127881247455</c:v>
                </c:pt>
                <c:pt idx="49">
                  <c:v>0.90232841477860537</c:v>
                </c:pt>
                <c:pt idx="50">
                  <c:v>0.93288626705127242</c:v>
                </c:pt>
                <c:pt idx="51">
                  <c:v>0.96502738836021207</c:v>
                </c:pt>
                <c:pt idx="52">
                  <c:v>0.99886339211158726</c:v>
                </c:pt>
                <c:pt idx="53">
                  <c:v>1.0345159332495288</c:v>
                </c:pt>
                <c:pt idx="54">
                  <c:v>1.0721178156759195</c:v>
                </c:pt>
                <c:pt idx="55">
                  <c:v>1.1118142453060755</c:v>
                </c:pt>
                <c:pt idx="56">
                  <c:v>1.1537642511458583</c:v>
                </c:pt>
                <c:pt idx="57">
                  <c:v>1.1981423007383099</c:v>
                </c:pt>
                <c:pt idx="58">
                  <c:v>1.2451401410863945</c:v>
                </c:pt>
                <c:pt idx="59">
                  <c:v>1.2949689018980113</c:v>
                </c:pt>
                <c:pt idx="60">
                  <c:v>1.347861504942744</c:v>
                </c:pt>
                <c:pt idx="61">
                  <c:v>1.4040754317465272</c:v>
                </c:pt>
                <c:pt idx="62">
                  <c:v>1.4638959121420065</c:v>
                </c:pt>
                <c:pt idx="63">
                  <c:v>1.5276396087965132</c:v>
                </c:pt>
                <c:pt idx="64">
                  <c:v>1.5956588883511611</c:v>
                </c:pt>
                <c:pt idx="65">
                  <c:v>1.6683467889751773</c:v>
                </c:pt>
                <c:pt idx="66">
                  <c:v>1.746142817953044</c:v>
                </c:pt>
                <c:pt idx="67">
                  <c:v>1.8295397426521989</c:v>
                </c:pt>
                <c:pt idx="68">
                  <c:v>1.919091575533775</c:v>
                </c:pt>
                <c:pt idx="69">
                  <c:v>2.0154230009698328</c:v>
                </c:pt>
                <c:pt idx="70">
                  <c:v>2.1192405514391259</c:v>
                </c:pt>
                <c:pt idx="71">
                  <c:v>2.2313459170925687</c:v>
                </c:pt>
                <c:pt idx="72">
                  <c:v>2.352651870979706</c:v>
                </c:pt>
                <c:pt idx="73">
                  <c:v>2.4842014195624857</c:v>
                </c:pt>
                <c:pt idx="74">
                  <c:v>2.6271909543302416</c:v>
                </c:pt>
                <c:pt idx="75">
                  <c:v>2.782998398963612</c:v>
                </c:pt>
                <c:pt idx="76">
                  <c:v>2.9532176365806575</c:v>
                </c:pt>
                <c:pt idx="77">
                  <c:v>3.1397008900193328</c:v>
                </c:pt>
                <c:pt idx="78">
                  <c:v>3.3446112533115073</c:v>
                </c:pt>
                <c:pt idx="79">
                  <c:v>3.5704882901873147</c:v>
                </c:pt>
                <c:pt idx="80">
                  <c:v>3.8203306074024348</c:v>
                </c:pt>
                <c:pt idx="81">
                  <c:v>4.0977006988045144</c:v>
                </c:pt>
                <c:pt idx="82">
                  <c:v>4.4068593249610233</c:v>
                </c:pt>
                <c:pt idx="83">
                  <c:v>4.7529395274581754</c:v>
                </c:pt>
                <c:pt idx="84">
                  <c:v>5.1421745239833925</c:v>
                </c:pt>
                <c:pt idx="85">
                  <c:v>5.582199908493708</c:v>
                </c:pt>
                <c:pt idx="86">
                  <c:v>6.0824599721535453</c:v>
                </c:pt>
                <c:pt idx="87">
                  <c:v>6.6547625631033709</c:v>
                </c:pt>
                <c:pt idx="88">
                  <c:v>7.3140501978849013</c:v>
                </c:pt>
                <c:pt idx="89">
                  <c:v>8.0794934064914994</c:v>
                </c:pt>
                <c:pt idx="90">
                  <c:v>8.9760773373162728</c:v>
                </c:pt>
                <c:pt idx="91">
                  <c:v>10.036967700631996</c:v>
                </c:pt>
                <c:pt idx="92">
                  <c:v>11.307155539119101</c:v>
                </c:pt>
                <c:pt idx="93">
                  <c:v>12.849299635001818</c:v>
                </c:pt>
                <c:pt idx="94">
                  <c:v>14.753570198661043</c:v>
                </c:pt>
                <c:pt idx="95">
                  <c:v>17.155342058718421</c:v>
                </c:pt>
                <c:pt idx="96">
                  <c:v>20.26991049267896</c:v>
                </c:pt>
                <c:pt idx="97">
                  <c:v>24.469773241580032</c:v>
                </c:pt>
                <c:pt idx="98">
                  <c:v>30.494601429292278</c:v>
                </c:pt>
                <c:pt idx="99">
                  <c:v>40.280229317627082</c:v>
                </c:pt>
              </c:numCache>
            </c:numRef>
          </c:yVal>
        </c:ser>
        <c:axId val="113575040"/>
        <c:axId val="113495040"/>
      </c:scatterChart>
      <c:valAx>
        <c:axId val="113482752"/>
        <c:scaling>
          <c:logBase val="10"/>
          <c:orientation val="minMax"/>
          <c:max val="100"/>
          <c:min val="1"/>
        </c:scaling>
        <c:axPos val="b"/>
        <c:title>
          <c:tx>
            <c:rich>
              <a:bodyPr/>
              <a:lstStyle/>
              <a:p>
                <a:pPr>
                  <a:defRPr/>
                </a:pPr>
                <a:r>
                  <a:rPr lang="ja-JP" altLang="en-US"/>
                  <a:t>カラム長　</a:t>
                </a:r>
                <a:r>
                  <a:rPr lang="en-US" altLang="ja-JP" i="1"/>
                  <a:t>L</a:t>
                </a:r>
                <a:r>
                  <a:rPr lang="ja-JP" altLang="en-US"/>
                  <a:t>　</a:t>
                </a:r>
                <a:r>
                  <a:rPr lang="en-US" altLang="ja-JP"/>
                  <a:t>[cm]</a:t>
                </a:r>
                <a:endParaRPr lang="ja-JP" altLang="en-US"/>
              </a:p>
            </c:rich>
          </c:tx>
          <c:layout>
            <c:manualLayout>
              <c:xMode val="edge"/>
              <c:yMode val="edge"/>
              <c:x val="0.39308939874569887"/>
              <c:y val="0.89137938308015052"/>
            </c:manualLayout>
          </c:layout>
        </c:title>
        <c:numFmt formatCode="General" sourceLinked="1"/>
        <c:majorTickMark val="in"/>
        <c:tickLblPos val="nextTo"/>
        <c:spPr>
          <a:ln>
            <a:solidFill>
              <a:sysClr val="windowText" lastClr="000000"/>
            </a:solidFill>
          </a:ln>
        </c:spPr>
        <c:crossAx val="113493120"/>
        <c:crosses val="autoZero"/>
        <c:crossBetween val="midCat"/>
      </c:valAx>
      <c:valAx>
        <c:axId val="113493120"/>
        <c:scaling>
          <c:orientation val="minMax"/>
          <c:max val="45"/>
          <c:min val="0"/>
        </c:scaling>
        <c:axPos val="l"/>
        <c:title>
          <c:tx>
            <c:rich>
              <a:bodyPr rot="-5400000" vert="horz"/>
              <a:lstStyle/>
              <a:p>
                <a:pPr>
                  <a:defRPr/>
                </a:pPr>
                <a:r>
                  <a:rPr lang="ja-JP" altLang="en-US"/>
                  <a:t>透水係数　</a:t>
                </a:r>
                <a:r>
                  <a:rPr lang="en-US" altLang="ja-JP" i="1"/>
                  <a:t>K</a:t>
                </a:r>
                <a:r>
                  <a:rPr lang="en-US" altLang="ja-JP"/>
                  <a:t>s</a:t>
                </a:r>
                <a:r>
                  <a:rPr lang="ja-JP" altLang="en-US"/>
                  <a:t>　</a:t>
                </a:r>
                <a:r>
                  <a:rPr lang="en-US" altLang="ja-JP"/>
                  <a:t>[cm/h]</a:t>
                </a:r>
                <a:endParaRPr lang="ja-JP" altLang="en-US"/>
              </a:p>
            </c:rich>
          </c:tx>
          <c:layout>
            <c:manualLayout>
              <c:xMode val="edge"/>
              <c:yMode val="edge"/>
              <c:x val="1.2878179750103018E-2"/>
              <c:y val="0.27169408149150964"/>
            </c:manualLayout>
          </c:layout>
        </c:title>
        <c:numFmt formatCode="General" sourceLinked="1"/>
        <c:majorTickMark val="in"/>
        <c:tickLblPos val="nextTo"/>
        <c:spPr>
          <a:ln>
            <a:solidFill>
              <a:sysClr val="windowText" lastClr="000000"/>
            </a:solidFill>
          </a:ln>
        </c:spPr>
        <c:crossAx val="113482752"/>
        <c:crosses val="autoZero"/>
        <c:crossBetween val="midCat"/>
        <c:majorUnit val="10"/>
      </c:valAx>
      <c:valAx>
        <c:axId val="113495040"/>
        <c:scaling>
          <c:orientation val="minMax"/>
          <c:max val="45"/>
          <c:min val="0"/>
        </c:scaling>
        <c:axPos val="r"/>
        <c:title>
          <c:tx>
            <c:rich>
              <a:bodyPr rot="-5400000" vert="horz"/>
              <a:lstStyle/>
              <a:p>
                <a:pPr>
                  <a:defRPr/>
                </a:pPr>
                <a:r>
                  <a:rPr lang="ja-JP" altLang="en-US"/>
                  <a:t>誤差</a:t>
                </a:r>
                <a:r>
                  <a:rPr lang="en-US" altLang="ja-JP"/>
                  <a:t>(%)</a:t>
                </a:r>
                <a:endParaRPr lang="ja-JP" altLang="en-US"/>
              </a:p>
            </c:rich>
          </c:tx>
        </c:title>
        <c:numFmt formatCode="General" sourceLinked="1"/>
        <c:majorTickMark val="in"/>
        <c:tickLblPos val="nextTo"/>
        <c:spPr>
          <a:ln>
            <a:solidFill>
              <a:sysClr val="windowText" lastClr="000000"/>
            </a:solidFill>
          </a:ln>
        </c:spPr>
        <c:crossAx val="113575040"/>
        <c:crosses val="max"/>
        <c:crossBetween val="midCat"/>
        <c:majorUnit val="10"/>
      </c:valAx>
      <c:valAx>
        <c:axId val="113575040"/>
        <c:scaling>
          <c:logBase val="10"/>
          <c:orientation val="minMax"/>
        </c:scaling>
        <c:delete val="1"/>
        <c:axPos val="b"/>
        <c:numFmt formatCode="General" sourceLinked="1"/>
        <c:tickLblPos val="none"/>
        <c:crossAx val="113495040"/>
        <c:crosses val="autoZero"/>
        <c:crossBetween val="midCat"/>
      </c:valAx>
      <c:spPr>
        <a:ln>
          <a:solidFill>
            <a:sysClr val="windowText" lastClr="000000"/>
          </a:solidFill>
        </a:ln>
      </c:spPr>
    </c:plotArea>
    <c:legend>
      <c:legendPos val="r"/>
      <c:layout>
        <c:manualLayout>
          <c:xMode val="edge"/>
          <c:yMode val="edge"/>
          <c:x val="0.50615003726929841"/>
          <c:y val="0.11189243394653885"/>
          <c:w val="0.31830955790651888"/>
          <c:h val="0.22378294945290111"/>
        </c:manualLayout>
      </c:layout>
    </c:legend>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14602835561340791"/>
          <c:y val="2.7223132953999019E-2"/>
          <c:w val="0.70720060626358616"/>
          <c:h val="0.81549936299512771"/>
        </c:manualLayout>
      </c:layout>
      <c:scatterChart>
        <c:scatterStyle val="lineMarker"/>
        <c:ser>
          <c:idx val="0"/>
          <c:order val="0"/>
          <c:tx>
            <c:strRef>
              <c:f>'11_12'!$I$126</c:f>
              <c:strCache>
                <c:ptCount val="1"/>
                <c:pt idx="0">
                  <c:v>変水位</c:v>
                </c:pt>
              </c:strCache>
            </c:strRef>
          </c:tx>
          <c:marker>
            <c:symbol val="none"/>
          </c:marker>
          <c:xVal>
            <c:numRef>
              <c:f>'11_12'!$G$127:$G$187</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xVal>
          <c:yVal>
            <c:numRef>
              <c:f>'11_12'!$I$127:$I$187</c:f>
              <c:numCache>
                <c:formatCode>General</c:formatCode>
                <c:ptCount val="61"/>
                <c:pt idx="0">
                  <c:v>20</c:v>
                </c:pt>
                <c:pt idx="1">
                  <c:v>19.635910344841349</c:v>
                </c:pt>
                <c:pt idx="2">
                  <c:v>19.272925366990961</c:v>
                </c:pt>
                <c:pt idx="3">
                  <c:v>18.911041714769041</c:v>
                </c:pt>
                <c:pt idx="4">
                  <c:v>18.550256046664984</c:v>
                </c:pt>
                <c:pt idx="5">
                  <c:v>18.190565031306647</c:v>
                </c:pt>
                <c:pt idx="6">
                  <c:v>17.831965347429517</c:v>
                </c:pt>
                <c:pt idx="7">
                  <c:v>17.474453683846093</c:v>
                </c:pt>
                <c:pt idx="8">
                  <c:v>17.118026739415228</c:v>
                </c:pt>
                <c:pt idx="9">
                  <c:v>16.762681223011768</c:v>
                </c:pt>
                <c:pt idx="10">
                  <c:v>16.408413853496043</c:v>
                </c:pt>
                <c:pt idx="11">
                  <c:v>16.055221359683671</c:v>
                </c:pt>
                <c:pt idx="12">
                  <c:v>15.703100480315271</c:v>
                </c:pt>
                <c:pt idx="13">
                  <c:v>15.352047964026383</c:v>
                </c:pt>
                <c:pt idx="14">
                  <c:v>15.002060569317493</c:v>
                </c:pt>
                <c:pt idx="15">
                  <c:v>14.653135064524008</c:v>
                </c:pt>
                <c:pt idx="16">
                  <c:v>14.305268227786513</c:v>
                </c:pt>
                <c:pt idx="17">
                  <c:v>13.958456847020912</c:v>
                </c:pt>
                <c:pt idx="18">
                  <c:v>13.612697719888871</c:v>
                </c:pt>
                <c:pt idx="19">
                  <c:v>13.267987653768216</c:v>
                </c:pt>
                <c:pt idx="20">
                  <c:v>12.924323465723432</c:v>
                </c:pt>
                <c:pt idx="21">
                  <c:v>12.581701982476247</c:v>
                </c:pt>
                <c:pt idx="22">
                  <c:v>12.240120040376468</c:v>
                </c:pt>
                <c:pt idx="23">
                  <c:v>11.899574485372582</c:v>
                </c:pt>
                <c:pt idx="24">
                  <c:v>11.560062172982754</c:v>
                </c:pt>
                <c:pt idx="25">
                  <c:v>11.221579968265758</c:v>
                </c:pt>
                <c:pt idx="26">
                  <c:v>10.884124745792036</c:v>
                </c:pt>
                <c:pt idx="27">
                  <c:v>10.547693389614821</c:v>
                </c:pt>
                <c:pt idx="28">
                  <c:v>10.212282793241428</c:v>
                </c:pt>
                <c:pt idx="29">
                  <c:v>9.8778898596044229</c:v>
                </c:pt>
                <c:pt idx="30">
                  <c:v>9.5445115010332273</c:v>
                </c:pt>
                <c:pt idx="31">
                  <c:v>9.2121446392254427</c:v>
                </c:pt>
                <c:pt idx="32">
                  <c:v>8.8807862052184987</c:v>
                </c:pt>
                <c:pt idx="33">
                  <c:v>8.5504331393613171</c:v>
                </c:pt>
                <c:pt idx="34">
                  <c:v>8.2210823912860462</c:v>
                </c:pt>
                <c:pt idx="35">
                  <c:v>7.8927309198798952</c:v>
                </c:pt>
                <c:pt idx="36">
                  <c:v>7.5653756932570104</c:v>
                </c:pt>
                <c:pt idx="37">
                  <c:v>7.2390136887306085</c:v>
                </c:pt>
                <c:pt idx="38">
                  <c:v>6.9136418927849093</c:v>
                </c:pt>
                <c:pt idx="39">
                  <c:v>6.5892573010474109</c:v>
                </c:pt>
                <c:pt idx="40">
                  <c:v>6.2658569182611075</c:v>
                </c:pt>
                <c:pt idx="41">
                  <c:v>5.9434377582568629</c:v>
                </c:pt>
                <c:pt idx="42">
                  <c:v>5.6219968439258281</c:v>
                </c:pt>
                <c:pt idx="43">
                  <c:v>5.3015312071918714</c:v>
                </c:pt>
                <c:pt idx="44">
                  <c:v>4.9820378889843369</c:v>
                </c:pt>
                <c:pt idx="45">
                  <c:v>4.66351393921056</c:v>
                </c:pt>
                <c:pt idx="46">
                  <c:v>4.3459564167287255</c:v>
                </c:pt>
                <c:pt idx="47">
                  <c:v>4.0293623893206671</c:v>
                </c:pt>
                <c:pt idx="48">
                  <c:v>3.7137289336648109</c:v>
                </c:pt>
                <c:pt idx="49">
                  <c:v>3.399053135309174</c:v>
                </c:pt>
                <c:pt idx="50">
                  <c:v>3.0853320886444493</c:v>
                </c:pt>
                <c:pt idx="51">
                  <c:v>2.7725628968772043</c:v>
                </c:pt>
                <c:pt idx="52">
                  <c:v>2.4607426720030787</c:v>
                </c:pt>
                <c:pt idx="53">
                  <c:v>2.1498685347801825</c:v>
                </c:pt>
                <c:pt idx="54">
                  <c:v>1.8399376147024213</c:v>
                </c:pt>
                <c:pt idx="55">
                  <c:v>1.5309470499731361</c:v>
                </c:pt>
                <c:pt idx="56">
                  <c:v>1.2228939874784857</c:v>
                </c:pt>
                <c:pt idx="57">
                  <c:v>0.91577558276131299</c:v>
                </c:pt>
                <c:pt idx="58">
                  <c:v>0.60958899999467064</c:v>
                </c:pt>
                <c:pt idx="59">
                  <c:v>0.30433141195582891</c:v>
                </c:pt>
                <c:pt idx="60">
                  <c:v>0</c:v>
                </c:pt>
              </c:numCache>
            </c:numRef>
          </c:yVal>
        </c:ser>
        <c:ser>
          <c:idx val="1"/>
          <c:order val="1"/>
          <c:tx>
            <c:strRef>
              <c:f>'11_12'!$J$126</c:f>
              <c:strCache>
                <c:ptCount val="1"/>
                <c:pt idx="0">
                  <c:v>定水位</c:v>
                </c:pt>
              </c:strCache>
            </c:strRef>
          </c:tx>
          <c:marker>
            <c:symbol val="none"/>
          </c:marker>
          <c:xVal>
            <c:numRef>
              <c:f>'11_12'!$G$127:$G$187</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xVal>
          <c:yVal>
            <c:numRef>
              <c:f>'11_12'!$J$127:$J$187</c:f>
              <c:numCache>
                <c:formatCode>General</c:formatCode>
                <c:ptCount val="6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numCache>
            </c:numRef>
          </c:yVal>
        </c:ser>
        <c:ser>
          <c:idx val="2"/>
          <c:order val="2"/>
          <c:tx>
            <c:strRef>
              <c:f>'11_12'!$K$126</c:f>
              <c:strCache>
                <c:ptCount val="1"/>
                <c:pt idx="0">
                  <c:v>1:1</c:v>
                </c:pt>
              </c:strCache>
            </c:strRef>
          </c:tx>
          <c:marker>
            <c:symbol val="none"/>
          </c:marker>
          <c:xVal>
            <c:numRef>
              <c:f>'11_12'!$K$127:$K$187</c:f>
              <c:numCache>
                <c:formatCode>General</c:formatCode>
                <c:ptCount val="61"/>
                <c:pt idx="0">
                  <c:v>0</c:v>
                </c:pt>
                <c:pt idx="1">
                  <c:v>60</c:v>
                </c:pt>
              </c:numCache>
            </c:numRef>
          </c:xVal>
          <c:yVal>
            <c:numRef>
              <c:f>'11_12'!$L$127:$L$187</c:f>
              <c:numCache>
                <c:formatCode>General</c:formatCode>
                <c:ptCount val="61"/>
                <c:pt idx="0">
                  <c:v>20</c:v>
                </c:pt>
                <c:pt idx="1">
                  <c:v>0</c:v>
                </c:pt>
              </c:numCache>
            </c:numRef>
          </c:yVal>
        </c:ser>
        <c:axId val="113650688"/>
        <c:axId val="113685632"/>
      </c:scatterChart>
      <c:valAx>
        <c:axId val="113650688"/>
        <c:scaling>
          <c:orientation val="minMax"/>
          <c:max val="60"/>
          <c:min val="0"/>
        </c:scaling>
        <c:axPos val="b"/>
        <c:title>
          <c:tx>
            <c:rich>
              <a:bodyPr/>
              <a:lstStyle/>
              <a:p>
                <a:pPr>
                  <a:defRPr/>
                </a:pPr>
                <a:r>
                  <a:rPr lang="ja-JP" altLang="en-US"/>
                  <a:t>経過時間 </a:t>
                </a:r>
                <a:r>
                  <a:rPr lang="en-US" altLang="ja-JP" i="1"/>
                  <a:t>t</a:t>
                </a:r>
                <a:r>
                  <a:rPr lang="en-US" altLang="ja-JP"/>
                  <a:t> [min]</a:t>
                </a:r>
                <a:endParaRPr lang="ja-JP" altLang="en-US"/>
              </a:p>
            </c:rich>
          </c:tx>
          <c:layout>
            <c:manualLayout>
              <c:xMode val="edge"/>
              <c:yMode val="edge"/>
              <c:x val="0.46375149155604367"/>
              <c:y val="0.92413339618492696"/>
            </c:manualLayout>
          </c:layout>
        </c:title>
        <c:numFmt formatCode="General" sourceLinked="1"/>
        <c:majorTickMark val="in"/>
        <c:tickLblPos val="nextTo"/>
        <c:spPr>
          <a:ln>
            <a:solidFill>
              <a:sysClr val="windowText" lastClr="000000"/>
            </a:solidFill>
          </a:ln>
        </c:spPr>
        <c:crossAx val="113685632"/>
        <c:crosses val="autoZero"/>
        <c:crossBetween val="midCat"/>
      </c:valAx>
      <c:valAx>
        <c:axId val="113685632"/>
        <c:scaling>
          <c:orientation val="minMax"/>
          <c:max val="20"/>
          <c:min val="0"/>
        </c:scaling>
        <c:axPos val="l"/>
        <c:title>
          <c:tx>
            <c:rich>
              <a:bodyPr rot="-5400000" vert="horz"/>
              <a:lstStyle/>
              <a:p>
                <a:pPr>
                  <a:defRPr/>
                </a:pPr>
                <a:r>
                  <a:rPr lang="ja-JP" altLang="en-US" baseline="0"/>
                  <a:t>   湛水深 </a:t>
                </a:r>
                <a:r>
                  <a:rPr lang="en-US" i="1"/>
                  <a:t>b</a:t>
                </a:r>
                <a:r>
                  <a:rPr lang="en-US"/>
                  <a:t> [cm]</a:t>
                </a:r>
                <a:endParaRPr lang="ja-JP"/>
              </a:p>
            </c:rich>
          </c:tx>
          <c:layout>
            <c:manualLayout>
              <c:xMode val="edge"/>
              <c:yMode val="edge"/>
              <c:x val="1.9995763079496021E-2"/>
              <c:y val="0.31013826418692347"/>
            </c:manualLayout>
          </c:layout>
        </c:title>
        <c:numFmt formatCode="General" sourceLinked="1"/>
        <c:majorTickMark val="in"/>
        <c:tickLblPos val="nextTo"/>
        <c:spPr>
          <a:ln>
            <a:solidFill>
              <a:sysClr val="windowText" lastClr="000000"/>
            </a:solidFill>
          </a:ln>
        </c:spPr>
        <c:crossAx val="113650688"/>
        <c:crosses val="autoZero"/>
        <c:crossBetween val="midCat"/>
        <c:majorUnit val="4"/>
      </c:valAx>
      <c:spPr>
        <a:ln>
          <a:solidFill>
            <a:sysClr val="windowText" lastClr="000000"/>
          </a:solidFill>
        </a:ln>
      </c:spPr>
    </c:plotArea>
    <c:legend>
      <c:legendPos val="r"/>
      <c:layout>
        <c:manualLayout>
          <c:xMode val="edge"/>
          <c:yMode val="edge"/>
          <c:x val="0.55032088285500314"/>
          <c:y val="0.10390841227931719"/>
          <c:w val="0.24015088972669207"/>
          <c:h val="0.2420017014891192"/>
        </c:manualLayout>
      </c:layout>
    </c:legend>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18306233148094242"/>
          <c:y val="5.151416957665924E-2"/>
          <c:w val="0.58054984909011009"/>
          <c:h val="0.72207602125367332"/>
        </c:manualLayout>
      </c:layout>
      <c:scatterChart>
        <c:scatterStyle val="lineMarker"/>
        <c:ser>
          <c:idx val="0"/>
          <c:order val="0"/>
          <c:tx>
            <c:strRef>
              <c:f>'11_12'!$AB$43</c:f>
              <c:strCache>
                <c:ptCount val="1"/>
                <c:pt idx="0">
                  <c:v>x/(1 + 0.5x)</c:v>
                </c:pt>
              </c:strCache>
            </c:strRef>
          </c:tx>
          <c:marker>
            <c:symbol val="none"/>
          </c:marker>
          <c:xVal>
            <c:numRef>
              <c:f>'11_12'!$AA$44:$AA$82</c:f>
              <c:numCache>
                <c:formatCode>General</c:formatCode>
                <c:ptCount val="39"/>
                <c:pt idx="0">
                  <c:v>0.01</c:v>
                </c:pt>
                <c:pt idx="1">
                  <c:v>1.2E-2</c:v>
                </c:pt>
                <c:pt idx="2">
                  <c:v>1.44E-2</c:v>
                </c:pt>
                <c:pt idx="3">
                  <c:v>1.728E-2</c:v>
                </c:pt>
                <c:pt idx="4">
                  <c:v>2.0736000000000001E-2</c:v>
                </c:pt>
                <c:pt idx="5">
                  <c:v>2.4883200000000001E-2</c:v>
                </c:pt>
                <c:pt idx="6">
                  <c:v>2.9859839999999999E-2</c:v>
                </c:pt>
                <c:pt idx="7">
                  <c:v>3.5831808E-2</c:v>
                </c:pt>
                <c:pt idx="8">
                  <c:v>4.2998169599999997E-2</c:v>
                </c:pt>
                <c:pt idx="9">
                  <c:v>5.1597803519999992E-2</c:v>
                </c:pt>
                <c:pt idx="10">
                  <c:v>6.1917364223999988E-2</c:v>
                </c:pt>
                <c:pt idx="11">
                  <c:v>7.4300837068799988E-2</c:v>
                </c:pt>
                <c:pt idx="12">
                  <c:v>8.916100448255998E-2</c:v>
                </c:pt>
                <c:pt idx="13">
                  <c:v>0.10699320537907198</c:v>
                </c:pt>
                <c:pt idx="14">
                  <c:v>0.12839184645488635</c:v>
                </c:pt>
                <c:pt idx="15">
                  <c:v>0.15407021574586363</c:v>
                </c:pt>
                <c:pt idx="16">
                  <c:v>0.18488425889503635</c:v>
                </c:pt>
                <c:pt idx="17">
                  <c:v>0.2218611106740436</c:v>
                </c:pt>
                <c:pt idx="18">
                  <c:v>0.26623333280885231</c:v>
                </c:pt>
                <c:pt idx="19">
                  <c:v>0.31947999937062277</c:v>
                </c:pt>
                <c:pt idx="20">
                  <c:v>0.3833759992447473</c:v>
                </c:pt>
                <c:pt idx="21">
                  <c:v>0.46005119909369674</c:v>
                </c:pt>
                <c:pt idx="22">
                  <c:v>0.55206143891243609</c:v>
                </c:pt>
                <c:pt idx="23">
                  <c:v>0.66247372669492333</c:v>
                </c:pt>
                <c:pt idx="24">
                  <c:v>0.79496847203390797</c:v>
                </c:pt>
                <c:pt idx="25">
                  <c:v>0.95396216644068954</c:v>
                </c:pt>
                <c:pt idx="26">
                  <c:v>1.1447545997288273</c:v>
                </c:pt>
                <c:pt idx="27">
                  <c:v>1.3737055196745926</c:v>
                </c:pt>
                <c:pt idx="28">
                  <c:v>1.6484466236095112</c:v>
                </c:pt>
                <c:pt idx="29">
                  <c:v>1.9781359483314134</c:v>
                </c:pt>
                <c:pt idx="30">
                  <c:v>2.3737631379976958</c:v>
                </c:pt>
                <c:pt idx="31">
                  <c:v>2.8485157655972349</c:v>
                </c:pt>
                <c:pt idx="32">
                  <c:v>3.4182189187166818</c:v>
                </c:pt>
                <c:pt idx="33">
                  <c:v>4.1018627024600178</c:v>
                </c:pt>
                <c:pt idx="34">
                  <c:v>4.9222352429520209</c:v>
                </c:pt>
                <c:pt idx="35">
                  <c:v>5.9066822915424249</c:v>
                </c:pt>
                <c:pt idx="36">
                  <c:v>7.0880187498509093</c:v>
                </c:pt>
                <c:pt idx="37">
                  <c:v>8.5056224998210901</c:v>
                </c:pt>
                <c:pt idx="38">
                  <c:v>10.206746999785308</c:v>
                </c:pt>
              </c:numCache>
            </c:numRef>
          </c:xVal>
          <c:yVal>
            <c:numRef>
              <c:f>'11_12'!$AB$44:$AB$82</c:f>
              <c:numCache>
                <c:formatCode>General</c:formatCode>
                <c:ptCount val="39"/>
                <c:pt idx="0">
                  <c:v>9.950248756218907E-3</c:v>
                </c:pt>
                <c:pt idx="1">
                  <c:v>1.1928429423459244E-2</c:v>
                </c:pt>
                <c:pt idx="2">
                  <c:v>1.4297061159650515E-2</c:v>
                </c:pt>
                <c:pt idx="3">
                  <c:v>1.7131979695431471E-2</c:v>
                </c:pt>
                <c:pt idx="4">
                  <c:v>2.052321530373092E-2</c:v>
                </c:pt>
                <c:pt idx="5">
                  <c:v>2.4577417601173244E-2</c:v>
                </c:pt>
                <c:pt idx="6">
                  <c:v>2.9420592901626155E-2</c:v>
                </c:pt>
                <c:pt idx="7">
                  <c:v>3.5201147618575762E-2</c:v>
                </c:pt>
                <c:pt idx="8">
                  <c:v>4.2093204232697509E-2</c:v>
                </c:pt>
                <c:pt idx="9">
                  <c:v>5.0300115774614094E-2</c:v>
                </c:pt>
                <c:pt idx="10">
                  <c:v>6.0058046261521746E-2</c:v>
                </c:pt>
                <c:pt idx="11">
                  <c:v>7.1639403254346354E-2</c:v>
                </c:pt>
                <c:pt idx="12">
                  <c:v>8.5355800047247424E-2</c:v>
                </c:pt>
                <c:pt idx="13">
                  <c:v>0.10156008581890294</c:v>
                </c:pt>
                <c:pt idx="14">
                  <c:v>0.12064681291533765</c:v>
                </c:pt>
                <c:pt idx="15">
                  <c:v>0.143050318991125</c:v>
                </c:pt>
                <c:pt idx="16">
                  <c:v>0.16923940766412776</c:v>
                </c:pt>
                <c:pt idx="17">
                  <c:v>0.19970745210688512</c:v>
                </c:pt>
                <c:pt idx="18">
                  <c:v>0.23495668248677024</c:v>
                </c:pt>
                <c:pt idx="19">
                  <c:v>0.27547553715256157</c:v>
                </c:pt>
                <c:pt idx="20">
                  <c:v>0.32170836608762765</c:v>
                </c:pt>
                <c:pt idx="21">
                  <c:v>0.3740175808236702</c:v>
                </c:pt>
                <c:pt idx="22">
                  <c:v>0.43263961477957025</c:v>
                </c:pt>
                <c:pt idx="23">
                  <c:v>0.49763775698721263</c:v>
                </c:pt>
                <c:pt idx="24">
                  <c:v>0.56885684399538627</c:v>
                </c:pt>
                <c:pt idx="25">
                  <c:v>0.64588651627190263</c:v>
                </c:pt>
                <c:pt idx="26">
                  <c:v>0.72804065527245887</c:v>
                </c:pt>
                <c:pt idx="27">
                  <c:v>0.81436006294176622</c:v>
                </c:pt>
                <c:pt idx="28">
                  <c:v>0.9036429986078055</c:v>
                </c:pt>
                <c:pt idx="29">
                  <c:v>0.9945039455783915</c:v>
                </c:pt>
                <c:pt idx="30">
                  <c:v>1.0854557337023067</c:v>
                </c:pt>
                <c:pt idx="31">
                  <c:v>1.1750052607063588</c:v>
                </c:pt>
                <c:pt idx="32">
                  <c:v>1.2617500215463038</c:v>
                </c:pt>
                <c:pt idx="33">
                  <c:v>1.3444624707161363</c:v>
                </c:pt>
                <c:pt idx="34">
                  <c:v>1.4221519697596725</c:v>
                </c:pt>
                <c:pt idx="35">
                  <c:v>1.4940988075012578</c:v>
                </c:pt>
                <c:pt idx="36">
                  <c:v>1.5598600630015622</c:v>
                </c:pt>
                <c:pt idx="37">
                  <c:v>1.6192515007970143</c:v>
                </c:pt>
                <c:pt idx="38">
                  <c:v>1.672312369538719</c:v>
                </c:pt>
              </c:numCache>
            </c:numRef>
          </c:yVal>
        </c:ser>
        <c:ser>
          <c:idx val="1"/>
          <c:order val="1"/>
          <c:tx>
            <c:strRef>
              <c:f>'11_12'!$AC$43</c:f>
              <c:strCache>
                <c:ptCount val="1"/>
                <c:pt idx="0">
                  <c:v>ln(1+x)</c:v>
                </c:pt>
              </c:strCache>
            </c:strRef>
          </c:tx>
          <c:marker>
            <c:symbol val="none"/>
          </c:marker>
          <c:xVal>
            <c:numRef>
              <c:f>'11_12'!$AA$44:$AA$82</c:f>
              <c:numCache>
                <c:formatCode>General</c:formatCode>
                <c:ptCount val="39"/>
                <c:pt idx="0">
                  <c:v>0.01</c:v>
                </c:pt>
                <c:pt idx="1">
                  <c:v>1.2E-2</c:v>
                </c:pt>
                <c:pt idx="2">
                  <c:v>1.44E-2</c:v>
                </c:pt>
                <c:pt idx="3">
                  <c:v>1.728E-2</c:v>
                </c:pt>
                <c:pt idx="4">
                  <c:v>2.0736000000000001E-2</c:v>
                </c:pt>
                <c:pt idx="5">
                  <c:v>2.4883200000000001E-2</c:v>
                </c:pt>
                <c:pt idx="6">
                  <c:v>2.9859839999999999E-2</c:v>
                </c:pt>
                <c:pt idx="7">
                  <c:v>3.5831808E-2</c:v>
                </c:pt>
                <c:pt idx="8">
                  <c:v>4.2998169599999997E-2</c:v>
                </c:pt>
                <c:pt idx="9">
                  <c:v>5.1597803519999992E-2</c:v>
                </c:pt>
                <c:pt idx="10">
                  <c:v>6.1917364223999988E-2</c:v>
                </c:pt>
                <c:pt idx="11">
                  <c:v>7.4300837068799988E-2</c:v>
                </c:pt>
                <c:pt idx="12">
                  <c:v>8.916100448255998E-2</c:v>
                </c:pt>
                <c:pt idx="13">
                  <c:v>0.10699320537907198</c:v>
                </c:pt>
                <c:pt idx="14">
                  <c:v>0.12839184645488635</c:v>
                </c:pt>
                <c:pt idx="15">
                  <c:v>0.15407021574586363</c:v>
                </c:pt>
                <c:pt idx="16">
                  <c:v>0.18488425889503635</c:v>
                </c:pt>
                <c:pt idx="17">
                  <c:v>0.2218611106740436</c:v>
                </c:pt>
                <c:pt idx="18">
                  <c:v>0.26623333280885231</c:v>
                </c:pt>
                <c:pt idx="19">
                  <c:v>0.31947999937062277</c:v>
                </c:pt>
                <c:pt idx="20">
                  <c:v>0.3833759992447473</c:v>
                </c:pt>
                <c:pt idx="21">
                  <c:v>0.46005119909369674</c:v>
                </c:pt>
                <c:pt idx="22">
                  <c:v>0.55206143891243609</c:v>
                </c:pt>
                <c:pt idx="23">
                  <c:v>0.66247372669492333</c:v>
                </c:pt>
                <c:pt idx="24">
                  <c:v>0.79496847203390797</c:v>
                </c:pt>
                <c:pt idx="25">
                  <c:v>0.95396216644068954</c:v>
                </c:pt>
                <c:pt idx="26">
                  <c:v>1.1447545997288273</c:v>
                </c:pt>
                <c:pt idx="27">
                  <c:v>1.3737055196745926</c:v>
                </c:pt>
                <c:pt idx="28">
                  <c:v>1.6484466236095112</c:v>
                </c:pt>
                <c:pt idx="29">
                  <c:v>1.9781359483314134</c:v>
                </c:pt>
                <c:pt idx="30">
                  <c:v>2.3737631379976958</c:v>
                </c:pt>
                <c:pt idx="31">
                  <c:v>2.8485157655972349</c:v>
                </c:pt>
                <c:pt idx="32">
                  <c:v>3.4182189187166818</c:v>
                </c:pt>
                <c:pt idx="33">
                  <c:v>4.1018627024600178</c:v>
                </c:pt>
                <c:pt idx="34">
                  <c:v>4.9222352429520209</c:v>
                </c:pt>
                <c:pt idx="35">
                  <c:v>5.9066822915424249</c:v>
                </c:pt>
                <c:pt idx="36">
                  <c:v>7.0880187498509093</c:v>
                </c:pt>
                <c:pt idx="37">
                  <c:v>8.5056224998210901</c:v>
                </c:pt>
                <c:pt idx="38">
                  <c:v>10.206746999785308</c:v>
                </c:pt>
              </c:numCache>
            </c:numRef>
          </c:xVal>
          <c:yVal>
            <c:numRef>
              <c:f>'11_12'!$AC$44:$AC$82</c:f>
              <c:numCache>
                <c:formatCode>General</c:formatCode>
                <c:ptCount val="39"/>
                <c:pt idx="0">
                  <c:v>9.950330853168092E-3</c:v>
                </c:pt>
                <c:pt idx="1">
                  <c:v>1.1928570865273812E-2</c:v>
                </c:pt>
                <c:pt idx="2">
                  <c:v>1.4297304700824394E-2</c:v>
                </c:pt>
                <c:pt idx="3">
                  <c:v>1.7132398740300793E-2</c:v>
                </c:pt>
                <c:pt idx="4">
                  <c:v>2.0523935718151934E-2</c:v>
                </c:pt>
                <c:pt idx="5">
                  <c:v>2.4578654877925939E-2</c:v>
                </c:pt>
                <c:pt idx="6">
                  <c:v>2.9422715312235437E-2</c:v>
                </c:pt>
                <c:pt idx="7">
                  <c:v>3.5204783167163495E-2</c:v>
                </c:pt>
                <c:pt idx="8">
                  <c:v>4.2099421079415639E-2</c:v>
                </c:pt>
                <c:pt idx="9">
                  <c:v>5.0310725168478863E-2</c:v>
                </c:pt>
                <c:pt idx="10">
                  <c:v>6.0076108327117982E-2</c:v>
                </c:pt>
                <c:pt idx="11">
                  <c:v>7.167006586607777E-2</c:v>
                </c:pt>
                <c:pt idx="12">
                  <c:v>8.5407679195804678E-2</c:v>
                </c:pt>
                <c:pt idx="13">
                  <c:v>0.10164751583871279</c:v>
                </c:pt>
                <c:pt idx="14">
                  <c:v>0.12079347436178749</c:v>
                </c:pt>
                <c:pt idx="15">
                  <c:v>0.14329501176857068</c:v>
                </c:pt>
                <c:pt idx="16">
                  <c:v>0.16964509799835709</c:v>
                </c:pt>
                <c:pt idx="17">
                  <c:v>0.20037519690369701</c:v>
                </c:pt>
                <c:pt idx="18">
                  <c:v>0.23604661385551157</c:v>
                </c:pt>
                <c:pt idx="19">
                  <c:v>0.27723771911284395</c:v>
                </c:pt>
                <c:pt idx="20">
                  <c:v>0.32452688792639528</c:v>
                </c:pt>
                <c:pt idx="21">
                  <c:v>0.37847150297777654</c:v>
                </c:pt>
                <c:pt idx="22">
                  <c:v>0.43958400790560126</c:v>
                </c:pt>
                <c:pt idx="23">
                  <c:v>0.50830668993122019</c:v>
                </c:pt>
                <c:pt idx="24">
                  <c:v>0.58498745745947389</c:v>
                </c:pt>
                <c:pt idx="25">
                  <c:v>0.66985919132500038</c:v>
                </c:pt>
                <c:pt idx="26">
                  <c:v>0.76302514011432021</c:v>
                </c:pt>
                <c:pt idx="27">
                  <c:v>0.86445224454839931</c:v>
                </c:pt>
                <c:pt idx="28">
                  <c:v>0.97397328835760577</c:v>
                </c:pt>
                <c:pt idx="29">
                  <c:v>1.0912975841034651</c:v>
                </c:pt>
                <c:pt idx="30">
                  <c:v>1.2160287795248428</c:v>
                </c:pt>
                <c:pt idx="31">
                  <c:v>1.3476875585402259</c:v>
                </c:pt>
                <c:pt idx="32">
                  <c:v>1.4857366553132221</c:v>
                </c:pt>
                <c:pt idx="33">
                  <c:v>1.629605708824404</c:v>
                </c:pt>
                <c:pt idx="34">
                  <c:v>1.7787139524554549</c:v>
                </c:pt>
                <c:pt idx="35">
                  <c:v>1.9324893910095748</c:v>
                </c:pt>
                <c:pt idx="36">
                  <c:v>2.090383799946308</c:v>
                </c:pt>
                <c:pt idx="37">
                  <c:v>2.2518834656234703</c:v>
                </c:pt>
                <c:pt idx="38">
                  <c:v>2.4165160076196814</c:v>
                </c:pt>
              </c:numCache>
            </c:numRef>
          </c:yVal>
        </c:ser>
        <c:axId val="114082560"/>
        <c:axId val="114084480"/>
      </c:scatterChart>
      <c:scatterChart>
        <c:scatterStyle val="lineMarker"/>
        <c:ser>
          <c:idx val="2"/>
          <c:order val="2"/>
          <c:tx>
            <c:strRef>
              <c:f>'11_12'!$AD$43</c:f>
              <c:strCache>
                <c:ptCount val="1"/>
                <c:pt idx="0">
                  <c:v>|D|</c:v>
                </c:pt>
              </c:strCache>
            </c:strRef>
          </c:tx>
          <c:marker>
            <c:symbol val="none"/>
          </c:marker>
          <c:xVal>
            <c:numRef>
              <c:f>'11_12'!$AA$44:$AA$82</c:f>
              <c:numCache>
                <c:formatCode>General</c:formatCode>
                <c:ptCount val="39"/>
                <c:pt idx="0">
                  <c:v>0.01</c:v>
                </c:pt>
                <c:pt idx="1">
                  <c:v>1.2E-2</c:v>
                </c:pt>
                <c:pt idx="2">
                  <c:v>1.44E-2</c:v>
                </c:pt>
                <c:pt idx="3">
                  <c:v>1.728E-2</c:v>
                </c:pt>
                <c:pt idx="4">
                  <c:v>2.0736000000000001E-2</c:v>
                </c:pt>
                <c:pt idx="5">
                  <c:v>2.4883200000000001E-2</c:v>
                </c:pt>
                <c:pt idx="6">
                  <c:v>2.9859839999999999E-2</c:v>
                </c:pt>
                <c:pt idx="7">
                  <c:v>3.5831808E-2</c:v>
                </c:pt>
                <c:pt idx="8">
                  <c:v>4.2998169599999997E-2</c:v>
                </c:pt>
                <c:pt idx="9">
                  <c:v>5.1597803519999992E-2</c:v>
                </c:pt>
                <c:pt idx="10">
                  <c:v>6.1917364223999988E-2</c:v>
                </c:pt>
                <c:pt idx="11">
                  <c:v>7.4300837068799988E-2</c:v>
                </c:pt>
                <c:pt idx="12">
                  <c:v>8.916100448255998E-2</c:v>
                </c:pt>
                <c:pt idx="13">
                  <c:v>0.10699320537907198</c:v>
                </c:pt>
                <c:pt idx="14">
                  <c:v>0.12839184645488635</c:v>
                </c:pt>
                <c:pt idx="15">
                  <c:v>0.15407021574586363</c:v>
                </c:pt>
                <c:pt idx="16">
                  <c:v>0.18488425889503635</c:v>
                </c:pt>
                <c:pt idx="17">
                  <c:v>0.2218611106740436</c:v>
                </c:pt>
                <c:pt idx="18">
                  <c:v>0.26623333280885231</c:v>
                </c:pt>
                <c:pt idx="19">
                  <c:v>0.31947999937062277</c:v>
                </c:pt>
                <c:pt idx="20">
                  <c:v>0.3833759992447473</c:v>
                </c:pt>
                <c:pt idx="21">
                  <c:v>0.46005119909369674</c:v>
                </c:pt>
                <c:pt idx="22">
                  <c:v>0.55206143891243609</c:v>
                </c:pt>
                <c:pt idx="23">
                  <c:v>0.66247372669492333</c:v>
                </c:pt>
                <c:pt idx="24">
                  <c:v>0.79496847203390797</c:v>
                </c:pt>
                <c:pt idx="25">
                  <c:v>0.95396216644068954</c:v>
                </c:pt>
                <c:pt idx="26">
                  <c:v>1.1447545997288273</c:v>
                </c:pt>
                <c:pt idx="27">
                  <c:v>1.3737055196745926</c:v>
                </c:pt>
                <c:pt idx="28">
                  <c:v>1.6484466236095112</c:v>
                </c:pt>
                <c:pt idx="29">
                  <c:v>1.9781359483314134</c:v>
                </c:pt>
                <c:pt idx="30">
                  <c:v>2.3737631379976958</c:v>
                </c:pt>
                <c:pt idx="31">
                  <c:v>2.8485157655972349</c:v>
                </c:pt>
                <c:pt idx="32">
                  <c:v>3.4182189187166818</c:v>
                </c:pt>
                <c:pt idx="33">
                  <c:v>4.1018627024600178</c:v>
                </c:pt>
                <c:pt idx="34">
                  <c:v>4.9222352429520209</c:v>
                </c:pt>
                <c:pt idx="35">
                  <c:v>5.9066822915424249</c:v>
                </c:pt>
                <c:pt idx="36">
                  <c:v>7.0880187498509093</c:v>
                </c:pt>
                <c:pt idx="37">
                  <c:v>8.5056224998210901</c:v>
                </c:pt>
                <c:pt idx="38">
                  <c:v>10.206746999785308</c:v>
                </c:pt>
              </c:numCache>
            </c:numRef>
          </c:xVal>
          <c:yVal>
            <c:numRef>
              <c:f>'11_12'!$AD$44:$AD$82</c:f>
              <c:numCache>
                <c:formatCode>General</c:formatCode>
                <c:ptCount val="39"/>
                <c:pt idx="0">
                  <c:v>8.2096949184998214E-8</c:v>
                </c:pt>
                <c:pt idx="1">
                  <c:v>1.4144181456794691E-7</c:v>
                </c:pt>
                <c:pt idx="2">
                  <c:v>2.4354117387874463E-7</c:v>
                </c:pt>
                <c:pt idx="3">
                  <c:v>4.1904486932156648E-7</c:v>
                </c:pt>
                <c:pt idx="4">
                  <c:v>7.204144210140595E-7</c:v>
                </c:pt>
                <c:pt idx="5">
                  <c:v>1.2372767526948325E-6</c:v>
                </c:pt>
                <c:pt idx="6">
                  <c:v>2.1224106092829209E-6</c:v>
                </c:pt>
                <c:pt idx="7">
                  <c:v>3.6355485877326288E-6</c:v>
                </c:pt>
                <c:pt idx="8">
                  <c:v>6.2168467181294984E-6</c:v>
                </c:pt>
                <c:pt idx="9">
                  <c:v>1.060939386476889E-5</c:v>
                </c:pt>
                <c:pt idx="10">
                  <c:v>1.8062065596236021E-5</c:v>
                </c:pt>
                <c:pt idx="11">
                  <c:v>3.0662611731416267E-5</c:v>
                </c:pt>
                <c:pt idx="12">
                  <c:v>5.1879148557254506E-5</c:v>
                </c:pt>
                <c:pt idx="13">
                  <c:v>8.7430019809847659E-5</c:v>
                </c:pt>
                <c:pt idx="14">
                  <c:v>1.4666144644984169E-4</c:v>
                </c:pt>
                <c:pt idx="15">
                  <c:v>2.4469277744568196E-4</c:v>
                </c:pt>
                <c:pt idx="16">
                  <c:v>4.0569033422932499E-4</c:v>
                </c:pt>
                <c:pt idx="17">
                  <c:v>6.6774479681189214E-4</c:v>
                </c:pt>
                <c:pt idx="18">
                  <c:v>1.0899313687413315E-3</c:v>
                </c:pt>
                <c:pt idx="19">
                  <c:v>1.7621819602823829E-3</c:v>
                </c:pt>
                <c:pt idx="20">
                  <c:v>2.8185218387676292E-3</c:v>
                </c:pt>
                <c:pt idx="21">
                  <c:v>4.4539221541063378E-3</c:v>
                </c:pt>
                <c:pt idx="22">
                  <c:v>6.9443931260310121E-3</c:v>
                </c:pt>
                <c:pt idx="23">
                  <c:v>1.0668932944007559E-2</c:v>
                </c:pt>
                <c:pt idx="24">
                  <c:v>1.6130613464087618E-2</c:v>
                </c:pt>
                <c:pt idx="25">
                  <c:v>2.3972675053097747E-2</c:v>
                </c:pt>
                <c:pt idx="26">
                  <c:v>3.4984484841861341E-2</c:v>
                </c:pt>
                <c:pt idx="27">
                  <c:v>5.009218160663309E-2</c:v>
                </c:pt>
                <c:pt idx="28">
                  <c:v>7.0330289749800268E-2</c:v>
                </c:pt>
                <c:pt idx="29">
                  <c:v>9.6793638525073611E-2</c:v>
                </c:pt>
                <c:pt idx="30">
                  <c:v>0.13057304582253604</c:v>
                </c:pt>
                <c:pt idx="31">
                  <c:v>0.17268229783386713</c:v>
                </c:pt>
                <c:pt idx="32">
                  <c:v>0.2239866337669183</c:v>
                </c:pt>
                <c:pt idx="33">
                  <c:v>0.28514323810826769</c:v>
                </c:pt>
                <c:pt idx="34">
                  <c:v>0.35656198269578243</c:v>
                </c:pt>
                <c:pt idx="35">
                  <c:v>0.43839058350831706</c:v>
                </c:pt>
                <c:pt idx="36">
                  <c:v>0.53052373694474575</c:v>
                </c:pt>
                <c:pt idx="37">
                  <c:v>0.63263196482645601</c:v>
                </c:pt>
                <c:pt idx="38">
                  <c:v>0.74420363808096246</c:v>
                </c:pt>
              </c:numCache>
            </c:numRef>
          </c:yVal>
        </c:ser>
        <c:axId val="114092672"/>
        <c:axId val="114090752"/>
      </c:scatterChart>
      <c:valAx>
        <c:axId val="114082560"/>
        <c:scaling>
          <c:logBase val="10"/>
          <c:orientation val="minMax"/>
          <c:max val="10"/>
        </c:scaling>
        <c:axPos val="b"/>
        <c:title>
          <c:tx>
            <c:rich>
              <a:bodyPr/>
              <a:lstStyle/>
              <a:p>
                <a:pPr>
                  <a:defRPr sz="1200"/>
                </a:pPr>
                <a:r>
                  <a:rPr lang="ja-JP" altLang="en-US" sz="1200"/>
                  <a:t>初期水深とカラム長の比 </a:t>
                </a:r>
                <a:r>
                  <a:rPr lang="en-US" sz="1200"/>
                  <a:t>x = b/L</a:t>
                </a:r>
                <a:endParaRPr lang="ja-JP" sz="1200"/>
              </a:p>
            </c:rich>
          </c:tx>
          <c:layout>
            <c:manualLayout>
              <c:xMode val="edge"/>
              <c:yMode val="edge"/>
              <c:x val="0.22910228055676626"/>
              <c:y val="0.87655830206907615"/>
            </c:manualLayout>
          </c:layout>
        </c:title>
        <c:numFmt formatCode="General" sourceLinked="1"/>
        <c:majorTickMark val="in"/>
        <c:tickLblPos val="nextTo"/>
        <c:spPr>
          <a:ln>
            <a:solidFill>
              <a:sysClr val="windowText" lastClr="000000"/>
            </a:solidFill>
          </a:ln>
        </c:spPr>
        <c:crossAx val="114084480"/>
        <c:crosses val="autoZero"/>
        <c:crossBetween val="midCat"/>
      </c:valAx>
      <c:valAx>
        <c:axId val="114084480"/>
        <c:scaling>
          <c:orientation val="minMax"/>
          <c:max val="3"/>
          <c:min val="0"/>
        </c:scaling>
        <c:axPos val="l"/>
        <c:title>
          <c:tx>
            <c:rich>
              <a:bodyPr rot="-5400000" vert="horz"/>
              <a:lstStyle/>
              <a:p>
                <a:pPr>
                  <a:defRPr sz="1200"/>
                </a:pPr>
                <a:r>
                  <a:rPr lang="ja-JP" altLang="en-US" sz="1200"/>
                  <a:t>各関数の値</a:t>
                </a:r>
                <a:endParaRPr lang="ja-JP" sz="1200"/>
              </a:p>
            </c:rich>
          </c:tx>
          <c:layout>
            <c:manualLayout>
              <c:xMode val="edge"/>
              <c:yMode val="edge"/>
              <c:x val="2.3806961928029828E-2"/>
              <c:y val="0.32280743712235221"/>
            </c:manualLayout>
          </c:layout>
        </c:title>
        <c:numFmt formatCode="General" sourceLinked="1"/>
        <c:majorTickMark val="in"/>
        <c:tickLblPos val="nextTo"/>
        <c:spPr>
          <a:ln>
            <a:solidFill>
              <a:sysClr val="windowText" lastClr="000000"/>
            </a:solidFill>
          </a:ln>
        </c:spPr>
        <c:crossAx val="114082560"/>
        <c:crossesAt val="0"/>
        <c:crossBetween val="midCat"/>
        <c:majorUnit val="1"/>
      </c:valAx>
      <c:valAx>
        <c:axId val="114090752"/>
        <c:scaling>
          <c:logBase val="10"/>
          <c:orientation val="minMax"/>
          <c:min val="1.0000000000000012E-6"/>
        </c:scaling>
        <c:axPos val="r"/>
        <c:title>
          <c:tx>
            <c:rich>
              <a:bodyPr rot="5400000" vert="horz"/>
              <a:lstStyle/>
              <a:p>
                <a:pPr>
                  <a:defRPr/>
                </a:pPr>
                <a:r>
                  <a:rPr lang="ja-JP" altLang="en-US"/>
                  <a:t>各関数の差</a:t>
                </a:r>
                <a:r>
                  <a:rPr lang="en-US" altLang="ja-JP">
                    <a:latin typeface="Symbol" pitchFamily="18" charset="2"/>
                  </a:rPr>
                  <a:t>D</a:t>
                </a:r>
                <a:endParaRPr lang="ja-JP" altLang="en-US">
                  <a:latin typeface="Symbol" pitchFamily="18" charset="2"/>
                </a:endParaRPr>
              </a:p>
            </c:rich>
          </c:tx>
        </c:title>
        <c:numFmt formatCode="0.E+00" sourceLinked="0"/>
        <c:tickLblPos val="nextTo"/>
        <c:crossAx val="114092672"/>
        <c:crosses val="max"/>
        <c:crossBetween val="midCat"/>
        <c:majorUnit val="100"/>
      </c:valAx>
      <c:valAx>
        <c:axId val="114092672"/>
        <c:scaling>
          <c:logBase val="10"/>
          <c:orientation val="minMax"/>
        </c:scaling>
        <c:delete val="1"/>
        <c:axPos val="b"/>
        <c:numFmt formatCode="General" sourceLinked="1"/>
        <c:tickLblPos val="none"/>
        <c:crossAx val="114090752"/>
        <c:crosses val="autoZero"/>
        <c:crossBetween val="midCat"/>
      </c:valAx>
      <c:spPr>
        <a:ln w="19050">
          <a:solidFill>
            <a:schemeClr val="tx1"/>
          </a:solidFill>
        </a:ln>
      </c:spPr>
    </c:plotArea>
    <c:legend>
      <c:legendPos val="r"/>
      <c:legendEntry>
        <c:idx val="2"/>
        <c:txPr>
          <a:bodyPr/>
          <a:lstStyle/>
          <a:p>
            <a:pPr>
              <a:defRPr>
                <a:latin typeface="Symbol" pitchFamily="18" charset="2"/>
              </a:defRPr>
            </a:pPr>
            <a:endParaRPr lang="ja-JP"/>
          </a:p>
        </c:txPr>
      </c:legendEntry>
      <c:layout>
        <c:manualLayout>
          <c:xMode val="edge"/>
          <c:yMode val="edge"/>
          <c:x val="0.28820787299959061"/>
          <c:y val="0.11434645872960296"/>
          <c:w val="0.23770342092556859"/>
          <c:h val="0.21321166587856322"/>
        </c:manualLayout>
      </c:layout>
      <c:overlay val="1"/>
    </c:legend>
    <c:plotVisOnly val="1"/>
    <c:dispBlanksAs val="gap"/>
  </c:chart>
  <c:spPr>
    <a:ln>
      <a:noFill/>
    </a:ln>
  </c:spPr>
  <c:txPr>
    <a:bodyPr/>
    <a:lstStyle/>
    <a:p>
      <a:pPr>
        <a:defRPr sz="1050">
          <a:latin typeface="Arial Unicode MS" pitchFamily="50" charset="-128"/>
          <a:ea typeface="Arial Unicode MS" pitchFamily="50" charset="-128"/>
          <a:cs typeface="Arial Unicode MS" pitchFamily="50" charset="-128"/>
        </a:defRPr>
      </a:pPr>
      <a:endParaRPr lang="ja-JP"/>
    </a:p>
  </c:txPr>
  <c:printSettings>
    <c:headerFooter/>
    <c:pageMargins b="0.75000000000000155" l="0.70000000000000062" r="0.70000000000000062" t="0.750000000000001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ja-JP"/>
  <c:chart>
    <c:autoTitleDeleted val="1"/>
    <c:plotArea>
      <c:layout/>
      <c:scatterChart>
        <c:scatterStyle val="lineMarker"/>
        <c:ser>
          <c:idx val="0"/>
          <c:order val="0"/>
          <c:xVal>
            <c:numRef>
              <c:f>'13'!$G$38:$G$48</c:f>
              <c:numCache>
                <c:formatCode>General</c:formatCode>
                <c:ptCount val="11"/>
                <c:pt idx="0">
                  <c:v>100</c:v>
                </c:pt>
                <c:pt idx="1">
                  <c:v>99.099099099099107</c:v>
                </c:pt>
                <c:pt idx="2">
                  <c:v>94.330633635064331</c:v>
                </c:pt>
                <c:pt idx="3">
                  <c:v>89.0154353364304</c:v>
                </c:pt>
                <c:pt idx="4">
                  <c:v>83.354633068214284</c:v>
                </c:pt>
                <c:pt idx="5">
                  <c:v>77.334255839126897</c:v>
                </c:pt>
                <c:pt idx="6">
                  <c:v>70.876409474052039</c:v>
                </c:pt>
                <c:pt idx="7">
                  <c:v>63.836926984294095</c:v>
                </c:pt>
                <c:pt idx="8">
                  <c:v>55.9488548347218</c:v>
                </c:pt>
                <c:pt idx="9">
                  <c:v>46.635088099715496</c:v>
                </c:pt>
                <c:pt idx="10">
                  <c:v>34.13112162351846</c:v>
                </c:pt>
              </c:numCache>
            </c:numRef>
          </c:xVal>
          <c:yVal>
            <c:numRef>
              <c:f>'13'!$A$38:$A$48</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yVal>
        </c:ser>
        <c:axId val="114270592"/>
        <c:axId val="114272512"/>
      </c:scatterChart>
      <c:valAx>
        <c:axId val="114270592"/>
        <c:scaling>
          <c:orientation val="maxMin"/>
          <c:max val="100"/>
          <c:min val="0"/>
        </c:scaling>
        <c:axPos val="t"/>
        <c:title>
          <c:tx>
            <c:rich>
              <a:bodyPr/>
              <a:lstStyle/>
              <a:p>
                <a:pPr>
                  <a:defRPr/>
                </a:pPr>
                <a:r>
                  <a:rPr lang="en-US" altLang="ja-JP" sz="1100"/>
                  <a:t>K</a:t>
                </a:r>
                <a:r>
                  <a:rPr lang="en-US" altLang="ja-JP" sz="800"/>
                  <a:t>eff</a:t>
                </a:r>
                <a:r>
                  <a:rPr lang="en-US" altLang="ja-JP" sz="1000"/>
                  <a:t> (cm/day)</a:t>
                </a:r>
                <a:endParaRPr lang="ja-JP" altLang="en-US" sz="800"/>
              </a:p>
            </c:rich>
          </c:tx>
          <c:layout/>
        </c:title>
        <c:numFmt formatCode="General" sourceLinked="1"/>
        <c:tickLblPos val="nextTo"/>
        <c:crossAx val="114272512"/>
        <c:crossesAt val="0.1"/>
        <c:crossBetween val="midCat"/>
      </c:valAx>
      <c:valAx>
        <c:axId val="114272512"/>
        <c:scaling>
          <c:orientation val="maxMin"/>
          <c:max val="100"/>
        </c:scaling>
        <c:axPos val="r"/>
        <c:title>
          <c:tx>
            <c:rich>
              <a:bodyPr rot="-5400000" vert="horz"/>
              <a:lstStyle/>
              <a:p>
                <a:pPr>
                  <a:defRPr/>
                </a:pPr>
                <a:r>
                  <a:rPr lang="en-US" altLang="ja-JP"/>
                  <a:t>L</a:t>
                </a:r>
                <a:r>
                  <a:rPr lang="en-US" altLang="ja-JP" baseline="0"/>
                  <a:t> (cm)</a:t>
                </a:r>
                <a:endParaRPr lang="ja-JP" altLang="en-US"/>
              </a:p>
            </c:rich>
          </c:tx>
          <c:layout/>
        </c:title>
        <c:numFmt formatCode="General" sourceLinked="1"/>
        <c:tickLblPos val="nextTo"/>
        <c:crossAx val="114270592"/>
        <c:crossesAt val="0"/>
        <c:crossBetween val="midCat"/>
      </c:valAx>
    </c:plotArea>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21429104320159401"/>
          <c:y val="3.2642898804316284E-2"/>
          <c:w val="0.70783131208277694"/>
          <c:h val="0.78731837091791723"/>
        </c:manualLayout>
      </c:layout>
      <c:scatterChart>
        <c:scatterStyle val="lineMarker"/>
        <c:ser>
          <c:idx val="3"/>
          <c:order val="0"/>
          <c:tx>
            <c:v>K</c:v>
          </c:tx>
          <c:spPr>
            <a:ln>
              <a:solidFill>
                <a:srgbClr val="00B0F0"/>
              </a:solidFill>
            </a:ln>
          </c:spPr>
          <c:marker>
            <c:symbol val="none"/>
          </c:marker>
          <c:xVal>
            <c:numRef>
              <c:f>'1'!$F$12:$F$18</c:f>
              <c:numCache>
                <c:formatCode>0.00_);[Red]\(0.00\)</c:formatCode>
                <c:ptCount val="7"/>
                <c:pt idx="0">
                  <c:v>6.5116279069767441E-2</c:v>
                </c:pt>
                <c:pt idx="1">
                  <c:v>0.44210526315789472</c:v>
                </c:pt>
                <c:pt idx="2">
                  <c:v>0.55999999999999994</c:v>
                </c:pt>
                <c:pt idx="3">
                  <c:v>1.4</c:v>
                </c:pt>
                <c:pt idx="4">
                  <c:v>2.3333333333333335</c:v>
                </c:pt>
                <c:pt idx="5">
                  <c:v>6.9999999999999991</c:v>
                </c:pt>
              </c:numCache>
            </c:numRef>
          </c:xVal>
          <c:yVal>
            <c:numRef>
              <c:f>'1'!$C$12:$C$18</c:f>
              <c:numCache>
                <c:formatCode>General</c:formatCode>
                <c:ptCount val="7"/>
                <c:pt idx="0">
                  <c:v>120</c:v>
                </c:pt>
                <c:pt idx="1">
                  <c:v>100</c:v>
                </c:pt>
                <c:pt idx="2">
                  <c:v>70</c:v>
                </c:pt>
                <c:pt idx="3">
                  <c:v>40</c:v>
                </c:pt>
                <c:pt idx="4">
                  <c:v>20</c:v>
                </c:pt>
                <c:pt idx="5">
                  <c:v>5</c:v>
                </c:pt>
                <c:pt idx="6">
                  <c:v>0</c:v>
                </c:pt>
              </c:numCache>
            </c:numRef>
          </c:yVal>
        </c:ser>
        <c:axId val="121431552"/>
        <c:axId val="121705216"/>
      </c:scatterChart>
      <c:valAx>
        <c:axId val="121431552"/>
        <c:scaling>
          <c:logBase val="10"/>
          <c:orientation val="minMax"/>
          <c:max val="10"/>
          <c:min val="1.0000000000000005E-2"/>
        </c:scaling>
        <c:axPos val="b"/>
        <c:title>
          <c:tx>
            <c:rich>
              <a:bodyPr/>
              <a:lstStyle/>
              <a:p>
                <a:pPr>
                  <a:defRPr/>
                </a:pPr>
                <a:r>
                  <a:rPr lang="ja-JP" altLang="en-US"/>
                  <a:t>透水係数</a:t>
                </a:r>
                <a:r>
                  <a:rPr lang="en-US" altLang="ja-JP"/>
                  <a:t>K</a:t>
                </a:r>
                <a:r>
                  <a:rPr lang="en-US"/>
                  <a:t>(cm/s)</a:t>
                </a:r>
                <a:endParaRPr lang="ja-JP"/>
              </a:p>
            </c:rich>
          </c:tx>
          <c:layout>
            <c:manualLayout>
              <c:xMode val="edge"/>
              <c:yMode val="edge"/>
              <c:x val="0.38418243129679591"/>
              <c:y val="0.91076719726580935"/>
            </c:manualLayout>
          </c:layout>
        </c:title>
        <c:numFmt formatCode="General" sourceLinked="0"/>
        <c:majorTickMark val="in"/>
        <c:tickLblPos val="nextTo"/>
        <c:crossAx val="121705216"/>
        <c:crosses val="autoZero"/>
        <c:crossBetween val="midCat"/>
        <c:majorUnit val="10"/>
      </c:valAx>
      <c:valAx>
        <c:axId val="121705216"/>
        <c:scaling>
          <c:orientation val="minMax"/>
          <c:max val="120"/>
          <c:min val="0"/>
        </c:scaling>
        <c:axPos val="l"/>
        <c:title>
          <c:tx>
            <c:rich>
              <a:bodyPr rot="-5400000" vert="horz"/>
              <a:lstStyle/>
              <a:p>
                <a:pPr>
                  <a:defRPr/>
                </a:pPr>
                <a:r>
                  <a:rPr lang="ja-JP" altLang="en-US" i="0"/>
                  <a:t>カラム下端からの距離　</a:t>
                </a:r>
                <a:r>
                  <a:rPr lang="en-US"/>
                  <a:t>(cm)</a:t>
                </a:r>
                <a:endParaRPr lang="ja-JP"/>
              </a:p>
            </c:rich>
          </c:tx>
        </c:title>
        <c:numFmt formatCode="General" sourceLinked="0"/>
        <c:majorTickMark val="in"/>
        <c:tickLblPos val="nextTo"/>
        <c:crossAx val="121431552"/>
        <c:crossesAt val="1.0000000000000005E-2"/>
        <c:crossBetween val="midCat"/>
      </c:valAx>
      <c:spPr>
        <a:noFill/>
        <a:ln>
          <a:solidFill>
            <a:schemeClr val="tx1"/>
          </a:solidFill>
        </a:ln>
      </c:spPr>
    </c:plotArea>
    <c:legend>
      <c:legendPos val="r"/>
      <c:layout>
        <c:manualLayout>
          <c:xMode val="edge"/>
          <c:yMode val="edge"/>
          <c:x val="0.26110787172011657"/>
          <c:y val="0.50111347003126105"/>
          <c:w val="0.14567556606444587"/>
          <c:h val="0.2799118540216603"/>
        </c:manualLayout>
      </c:layout>
    </c:legend>
    <c:plotVisOnly val="1"/>
    <c:dispBlanksAs val="gap"/>
  </c:chart>
  <c:spPr>
    <a:ln>
      <a:noFill/>
    </a:ln>
  </c:spPr>
  <c:txPr>
    <a:bodyPr/>
    <a:lstStyle/>
    <a:p>
      <a:pPr>
        <a:defRPr sz="1200"/>
      </a:pPr>
      <a:endParaRPr lang="ja-JP"/>
    </a:p>
  </c:txPr>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9945790154977244"/>
          <c:y val="3.8121152595444914E-2"/>
          <c:w val="0.75664556916761461"/>
          <c:h val="0.7734503903954566"/>
        </c:manualLayout>
      </c:layout>
      <c:scatterChart>
        <c:scatterStyle val="lineMarker"/>
        <c:ser>
          <c:idx val="0"/>
          <c:order val="0"/>
          <c:tx>
            <c:v>z</c:v>
          </c:tx>
          <c:xVal>
            <c:numRef>
              <c:f>'2'!$D$41:$D$43</c:f>
              <c:numCache>
                <c:formatCode>General</c:formatCode>
                <c:ptCount val="3"/>
                <c:pt idx="0">
                  <c:v>20</c:v>
                </c:pt>
                <c:pt idx="1">
                  <c:v>10</c:v>
                </c:pt>
                <c:pt idx="2">
                  <c:v>0</c:v>
                </c:pt>
              </c:numCache>
            </c:numRef>
          </c:xVal>
          <c:yVal>
            <c:numRef>
              <c:f>'2'!$D$41:$D$43</c:f>
              <c:numCache>
                <c:formatCode>General</c:formatCode>
                <c:ptCount val="3"/>
                <c:pt idx="0">
                  <c:v>20</c:v>
                </c:pt>
                <c:pt idx="1">
                  <c:v>10</c:v>
                </c:pt>
                <c:pt idx="2">
                  <c:v>0</c:v>
                </c:pt>
              </c:numCache>
            </c:numRef>
          </c:yVal>
        </c:ser>
        <c:ser>
          <c:idx val="1"/>
          <c:order val="1"/>
          <c:tx>
            <c:v>p</c:v>
          </c:tx>
          <c:xVal>
            <c:numRef>
              <c:f>'2'!$E$41:$E$43</c:f>
              <c:numCache>
                <c:formatCode>General</c:formatCode>
                <c:ptCount val="3"/>
                <c:pt idx="0">
                  <c:v>8</c:v>
                </c:pt>
                <c:pt idx="1">
                  <c:v>-0.66666666666666574</c:v>
                </c:pt>
                <c:pt idx="2">
                  <c:v>0</c:v>
                </c:pt>
              </c:numCache>
            </c:numRef>
          </c:xVal>
          <c:yVal>
            <c:numRef>
              <c:f>'2'!$D$41:$D$43</c:f>
              <c:numCache>
                <c:formatCode>General</c:formatCode>
                <c:ptCount val="3"/>
                <c:pt idx="0">
                  <c:v>20</c:v>
                </c:pt>
                <c:pt idx="1">
                  <c:v>10</c:v>
                </c:pt>
                <c:pt idx="2">
                  <c:v>0</c:v>
                </c:pt>
              </c:numCache>
            </c:numRef>
          </c:yVal>
        </c:ser>
        <c:ser>
          <c:idx val="2"/>
          <c:order val="2"/>
          <c:tx>
            <c:v>H</c:v>
          </c:tx>
          <c:xVal>
            <c:numRef>
              <c:f>'2'!$F$41:$F$43</c:f>
              <c:numCache>
                <c:formatCode>General</c:formatCode>
                <c:ptCount val="3"/>
                <c:pt idx="0">
                  <c:v>28</c:v>
                </c:pt>
                <c:pt idx="1">
                  <c:v>9.3333333333333339</c:v>
                </c:pt>
                <c:pt idx="2">
                  <c:v>0</c:v>
                </c:pt>
              </c:numCache>
            </c:numRef>
          </c:xVal>
          <c:yVal>
            <c:numRef>
              <c:f>'2'!$D$41:$D$43</c:f>
              <c:numCache>
                <c:formatCode>General</c:formatCode>
                <c:ptCount val="3"/>
                <c:pt idx="0">
                  <c:v>20</c:v>
                </c:pt>
                <c:pt idx="1">
                  <c:v>10</c:v>
                </c:pt>
                <c:pt idx="2">
                  <c:v>0</c:v>
                </c:pt>
              </c:numCache>
            </c:numRef>
          </c:yVal>
        </c:ser>
        <c:axId val="136869760"/>
        <c:axId val="137433088"/>
      </c:scatterChart>
      <c:valAx>
        <c:axId val="136869760"/>
        <c:scaling>
          <c:orientation val="minMax"/>
          <c:max val="50"/>
          <c:min val="-20"/>
        </c:scaling>
        <c:axPos val="b"/>
        <c:title>
          <c:tx>
            <c:rich>
              <a:bodyPr/>
              <a:lstStyle/>
              <a:p>
                <a:pPr>
                  <a:defRPr/>
                </a:pPr>
                <a:r>
                  <a:rPr lang="ja-JP"/>
                  <a:t>ポテンシャル水頭　</a:t>
                </a:r>
                <a:r>
                  <a:rPr lang="en-US"/>
                  <a:t>(cm)</a:t>
                </a:r>
                <a:endParaRPr lang="ja-JP"/>
              </a:p>
            </c:rich>
          </c:tx>
          <c:layout>
            <c:manualLayout>
              <c:xMode val="edge"/>
              <c:yMode val="edge"/>
              <c:x val="0.38055110958541638"/>
              <c:y val="0.91203703703703709"/>
            </c:manualLayout>
          </c:layout>
        </c:title>
        <c:numFmt formatCode="General" sourceLinked="1"/>
        <c:tickLblPos val="nextTo"/>
        <c:crossAx val="137433088"/>
        <c:crosses val="autoZero"/>
        <c:crossBetween val="midCat"/>
      </c:valAx>
      <c:valAx>
        <c:axId val="137433088"/>
        <c:scaling>
          <c:orientation val="minMax"/>
          <c:max val="40"/>
          <c:min val="0"/>
        </c:scaling>
        <c:axPos val="l"/>
        <c:title>
          <c:tx>
            <c:rich>
              <a:bodyPr rot="-5400000" vert="horz"/>
              <a:lstStyle/>
              <a:p>
                <a:pPr>
                  <a:defRPr/>
                </a:pPr>
                <a:r>
                  <a:rPr lang="ja-JP"/>
                  <a:t>カラム底面からの高さ</a:t>
                </a:r>
                <a:r>
                  <a:rPr lang="en-US"/>
                  <a:t>(cm)</a:t>
                </a:r>
                <a:endParaRPr lang="ja-JP"/>
              </a:p>
            </c:rich>
          </c:tx>
          <c:layout>
            <c:manualLayout>
              <c:xMode val="edge"/>
              <c:yMode val="edge"/>
              <c:x val="3.2697547683923904E-2"/>
              <c:y val="0.14192330125400993"/>
            </c:manualLayout>
          </c:layout>
        </c:title>
        <c:numFmt formatCode="General" sourceLinked="1"/>
        <c:tickLblPos val="low"/>
        <c:crossAx val="136869760"/>
        <c:crosses val="autoZero"/>
        <c:crossBetween val="midCat"/>
        <c:majorUnit val="10"/>
      </c:valAx>
      <c:spPr>
        <a:ln>
          <a:solidFill>
            <a:schemeClr val="tx1"/>
          </a:solidFill>
        </a:ln>
      </c:spPr>
    </c:plotArea>
    <c:legend>
      <c:legendPos val="r"/>
      <c:layout>
        <c:manualLayout>
          <c:xMode val="edge"/>
          <c:yMode val="edge"/>
          <c:x val="0.70707688937893332"/>
          <c:y val="7.3497930740270265E-2"/>
          <c:w val="0.21666660011898725"/>
          <c:h val="0.25115157480314959"/>
        </c:manualLayout>
      </c:layout>
    </c:legend>
    <c:plotVisOnly val="1"/>
    <c:dispBlanksAs val="gap"/>
  </c:chart>
  <c:spPr>
    <a:ln>
      <a:noFill/>
    </a:ln>
  </c:spPr>
  <c:txPr>
    <a:bodyPr/>
    <a:lstStyle/>
    <a:p>
      <a:pPr>
        <a:defRPr sz="1200"/>
      </a:pPr>
      <a:endParaRPr lang="ja-JP"/>
    </a:p>
  </c:tx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9945790154977244"/>
          <c:y val="3.8121152595444914E-2"/>
          <c:w val="0.75664556916761461"/>
          <c:h val="0.7734503903954566"/>
        </c:manualLayout>
      </c:layout>
      <c:scatterChart>
        <c:scatterStyle val="lineMarker"/>
        <c:ser>
          <c:idx val="0"/>
          <c:order val="0"/>
          <c:tx>
            <c:v>z</c:v>
          </c:tx>
          <c:xVal>
            <c:numRef>
              <c:f>'3'!$H$24:$H$26</c:f>
              <c:numCache>
                <c:formatCode>General</c:formatCode>
                <c:ptCount val="3"/>
                <c:pt idx="0">
                  <c:v>100</c:v>
                </c:pt>
                <c:pt idx="1">
                  <c:v>50</c:v>
                </c:pt>
                <c:pt idx="2">
                  <c:v>0</c:v>
                </c:pt>
              </c:numCache>
            </c:numRef>
          </c:xVal>
          <c:yVal>
            <c:numRef>
              <c:f>'3'!$H$24:$H$26</c:f>
              <c:numCache>
                <c:formatCode>General</c:formatCode>
                <c:ptCount val="3"/>
                <c:pt idx="0">
                  <c:v>100</c:v>
                </c:pt>
                <c:pt idx="1">
                  <c:v>50</c:v>
                </c:pt>
                <c:pt idx="2">
                  <c:v>0</c:v>
                </c:pt>
              </c:numCache>
            </c:numRef>
          </c:yVal>
        </c:ser>
        <c:ser>
          <c:idx val="1"/>
          <c:order val="1"/>
          <c:tx>
            <c:v>p</c:v>
          </c:tx>
          <c:xVal>
            <c:numRef>
              <c:f>'3'!$I$24:$I$26</c:f>
              <c:numCache>
                <c:formatCode>General</c:formatCode>
                <c:ptCount val="3"/>
                <c:pt idx="0">
                  <c:v>20</c:v>
                </c:pt>
                <c:pt idx="1">
                  <c:v>50</c:v>
                </c:pt>
                <c:pt idx="2">
                  <c:v>0</c:v>
                </c:pt>
              </c:numCache>
            </c:numRef>
          </c:xVal>
          <c:yVal>
            <c:numRef>
              <c:f>'3'!$H$24:$H$26</c:f>
              <c:numCache>
                <c:formatCode>General</c:formatCode>
                <c:ptCount val="3"/>
                <c:pt idx="0">
                  <c:v>100</c:v>
                </c:pt>
                <c:pt idx="1">
                  <c:v>50</c:v>
                </c:pt>
                <c:pt idx="2">
                  <c:v>0</c:v>
                </c:pt>
              </c:numCache>
            </c:numRef>
          </c:yVal>
        </c:ser>
        <c:ser>
          <c:idx val="2"/>
          <c:order val="2"/>
          <c:tx>
            <c:v>H</c:v>
          </c:tx>
          <c:xVal>
            <c:numRef>
              <c:f>'3'!$J$24:$J$26</c:f>
              <c:numCache>
                <c:formatCode>General</c:formatCode>
                <c:ptCount val="3"/>
                <c:pt idx="0">
                  <c:v>120</c:v>
                </c:pt>
                <c:pt idx="1">
                  <c:v>100</c:v>
                </c:pt>
                <c:pt idx="2">
                  <c:v>0</c:v>
                </c:pt>
              </c:numCache>
            </c:numRef>
          </c:xVal>
          <c:yVal>
            <c:numRef>
              <c:f>'3'!$H$24:$H$26</c:f>
              <c:numCache>
                <c:formatCode>General</c:formatCode>
                <c:ptCount val="3"/>
                <c:pt idx="0">
                  <c:v>100</c:v>
                </c:pt>
                <c:pt idx="1">
                  <c:v>50</c:v>
                </c:pt>
                <c:pt idx="2">
                  <c:v>0</c:v>
                </c:pt>
              </c:numCache>
            </c:numRef>
          </c:yVal>
        </c:ser>
        <c:axId val="87792640"/>
        <c:axId val="87803008"/>
      </c:scatterChart>
      <c:valAx>
        <c:axId val="87792640"/>
        <c:scaling>
          <c:orientation val="minMax"/>
          <c:max val="200"/>
          <c:min val="0"/>
        </c:scaling>
        <c:axPos val="b"/>
        <c:title>
          <c:tx>
            <c:rich>
              <a:bodyPr/>
              <a:lstStyle/>
              <a:p>
                <a:pPr>
                  <a:defRPr/>
                </a:pPr>
                <a:r>
                  <a:rPr lang="ja-JP"/>
                  <a:t>ポテンシャル水頭　</a:t>
                </a:r>
                <a:r>
                  <a:rPr lang="en-US"/>
                  <a:t>(cm)</a:t>
                </a:r>
                <a:endParaRPr lang="ja-JP"/>
              </a:p>
            </c:rich>
          </c:tx>
          <c:layout>
            <c:manualLayout>
              <c:xMode val="edge"/>
              <c:yMode val="edge"/>
              <c:x val="0.38055110958541638"/>
              <c:y val="0.91203703703703709"/>
            </c:manualLayout>
          </c:layout>
        </c:title>
        <c:numFmt formatCode="General" sourceLinked="1"/>
        <c:tickLblPos val="nextTo"/>
        <c:crossAx val="87803008"/>
        <c:crosses val="autoZero"/>
        <c:crossBetween val="midCat"/>
      </c:valAx>
      <c:valAx>
        <c:axId val="87803008"/>
        <c:scaling>
          <c:orientation val="minMax"/>
          <c:max val="200"/>
          <c:min val="0"/>
        </c:scaling>
        <c:axPos val="l"/>
        <c:title>
          <c:tx>
            <c:rich>
              <a:bodyPr rot="-5400000" vert="horz"/>
              <a:lstStyle/>
              <a:p>
                <a:pPr>
                  <a:defRPr/>
                </a:pPr>
                <a:r>
                  <a:rPr lang="ja-JP"/>
                  <a:t>カラム底面からの高さ</a:t>
                </a:r>
                <a:r>
                  <a:rPr lang="en-US"/>
                  <a:t>(cm)</a:t>
                </a:r>
                <a:endParaRPr lang="ja-JP"/>
              </a:p>
            </c:rich>
          </c:tx>
          <c:layout>
            <c:manualLayout>
              <c:xMode val="edge"/>
              <c:yMode val="edge"/>
              <c:x val="3.2697547683923932E-2"/>
              <c:y val="0.14192330125400993"/>
            </c:manualLayout>
          </c:layout>
        </c:title>
        <c:numFmt formatCode="General" sourceLinked="1"/>
        <c:tickLblPos val="low"/>
        <c:crossAx val="87792640"/>
        <c:crosses val="autoZero"/>
        <c:crossBetween val="midCat"/>
        <c:majorUnit val="50"/>
      </c:valAx>
      <c:spPr>
        <a:ln>
          <a:solidFill>
            <a:schemeClr val="tx1"/>
          </a:solidFill>
        </a:ln>
      </c:spPr>
    </c:plotArea>
    <c:legend>
      <c:legendPos val="r"/>
      <c:layout>
        <c:manualLayout>
          <c:xMode val="edge"/>
          <c:yMode val="edge"/>
          <c:x val="0.78314088123180792"/>
          <c:y val="7.3497930740270306E-2"/>
          <c:w val="0.14060260178649372"/>
          <c:h val="0.25115157480314959"/>
        </c:manualLayout>
      </c:layout>
    </c:legend>
    <c:plotVisOnly val="1"/>
    <c:dispBlanksAs val="gap"/>
  </c:chart>
  <c:spPr>
    <a:ln>
      <a:noFill/>
    </a:ln>
  </c:spPr>
  <c:txPr>
    <a:bodyPr/>
    <a:lstStyle/>
    <a:p>
      <a:pPr>
        <a:defRPr sz="1200"/>
      </a:pPr>
      <a:endParaRPr lang="ja-JP"/>
    </a:p>
  </c:tx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9361986482455144"/>
          <c:y val="3.8121152595444914E-2"/>
          <c:w val="0.65160493038447487"/>
          <c:h val="0.7734503903954566"/>
        </c:manualLayout>
      </c:layout>
      <c:scatterChart>
        <c:scatterStyle val="lineMarker"/>
        <c:ser>
          <c:idx val="0"/>
          <c:order val="0"/>
          <c:spPr>
            <a:ln>
              <a:solidFill>
                <a:srgbClr val="FF0000"/>
              </a:solidFill>
            </a:ln>
          </c:spPr>
          <c:marker>
            <c:symbol val="none"/>
          </c:marker>
          <c:xVal>
            <c:numRef>
              <c:f>'4_5'!$B$104:$B$328</c:f>
              <c:numCache>
                <c:formatCode>General</c:formatCode>
                <c:ptCount val="225"/>
                <c:pt idx="0">
                  <c:v>1.1000000000000001E-3</c:v>
                </c:pt>
                <c:pt idx="1">
                  <c:v>1.2100000000000001E-3</c:v>
                </c:pt>
                <c:pt idx="2">
                  <c:v>1.3310000000000002E-3</c:v>
                </c:pt>
                <c:pt idx="3">
                  <c:v>1.4641000000000003E-3</c:v>
                </c:pt>
                <c:pt idx="4">
                  <c:v>1.6105100000000005E-3</c:v>
                </c:pt>
                <c:pt idx="5">
                  <c:v>1.7715610000000007E-3</c:v>
                </c:pt>
                <c:pt idx="6">
                  <c:v>1.9487171000000009E-3</c:v>
                </c:pt>
                <c:pt idx="7">
                  <c:v>2.1435888100000012E-3</c:v>
                </c:pt>
                <c:pt idx="8">
                  <c:v>2.3579476910000016E-3</c:v>
                </c:pt>
                <c:pt idx="9">
                  <c:v>2.5937424601000019E-3</c:v>
                </c:pt>
                <c:pt idx="10">
                  <c:v>2.8531167061100022E-3</c:v>
                </c:pt>
                <c:pt idx="11">
                  <c:v>3.1384283767210029E-3</c:v>
                </c:pt>
                <c:pt idx="12">
                  <c:v>3.4522712143931033E-3</c:v>
                </c:pt>
                <c:pt idx="13">
                  <c:v>3.7974983358324138E-3</c:v>
                </c:pt>
                <c:pt idx="14">
                  <c:v>4.1772481694156557E-3</c:v>
                </c:pt>
                <c:pt idx="15">
                  <c:v>4.5949729863572217E-3</c:v>
                </c:pt>
                <c:pt idx="16">
                  <c:v>5.0544702849929443E-3</c:v>
                </c:pt>
                <c:pt idx="17">
                  <c:v>5.5599173134922393E-3</c:v>
                </c:pt>
                <c:pt idx="18">
                  <c:v>6.115909044841464E-3</c:v>
                </c:pt>
                <c:pt idx="19">
                  <c:v>6.7274999493256108E-3</c:v>
                </c:pt>
                <c:pt idx="20">
                  <c:v>7.4002499442581728E-3</c:v>
                </c:pt>
                <c:pt idx="21">
                  <c:v>8.1402749386839911E-3</c:v>
                </c:pt>
                <c:pt idx="22">
                  <c:v>8.9543024325523905E-3</c:v>
                </c:pt>
                <c:pt idx="23">
                  <c:v>9.8497326758076303E-3</c:v>
                </c:pt>
                <c:pt idx="24">
                  <c:v>1.0834705943388393E-2</c:v>
                </c:pt>
                <c:pt idx="25">
                  <c:v>1.1918176537727233E-2</c:v>
                </c:pt>
                <c:pt idx="26">
                  <c:v>1.3109994191499958E-2</c:v>
                </c:pt>
                <c:pt idx="27">
                  <c:v>1.4420993610649954E-2</c:v>
                </c:pt>
                <c:pt idx="28">
                  <c:v>1.586309297171495E-2</c:v>
                </c:pt>
                <c:pt idx="29">
                  <c:v>1.7449402268886447E-2</c:v>
                </c:pt>
                <c:pt idx="30">
                  <c:v>1.9194342495775094E-2</c:v>
                </c:pt>
                <c:pt idx="31">
                  <c:v>2.1113776745352607E-2</c:v>
                </c:pt>
                <c:pt idx="32">
                  <c:v>2.3225154419887869E-2</c:v>
                </c:pt>
                <c:pt idx="33">
                  <c:v>2.5547669861876659E-2</c:v>
                </c:pt>
                <c:pt idx="34">
                  <c:v>2.8102436848064329E-2</c:v>
                </c:pt>
                <c:pt idx="35">
                  <c:v>3.0912680532870763E-2</c:v>
                </c:pt>
                <c:pt idx="36">
                  <c:v>3.4003948586157844E-2</c:v>
                </c:pt>
                <c:pt idx="37">
                  <c:v>3.7404343444773634E-2</c:v>
                </c:pt>
                <c:pt idx="38">
                  <c:v>4.1144777789250998E-2</c:v>
                </c:pt>
                <c:pt idx="39">
                  <c:v>4.5259255568176102E-2</c:v>
                </c:pt>
                <c:pt idx="40">
                  <c:v>4.9785181124993715E-2</c:v>
                </c:pt>
                <c:pt idx="41">
                  <c:v>5.4763699237493094E-2</c:v>
                </c:pt>
                <c:pt idx="42">
                  <c:v>6.0240069161242409E-2</c:v>
                </c:pt>
                <c:pt idx="43">
                  <c:v>6.626407607736666E-2</c:v>
                </c:pt>
                <c:pt idx="44">
                  <c:v>7.2890483685103327E-2</c:v>
                </c:pt>
                <c:pt idx="45">
                  <c:v>8.0179532053613667E-2</c:v>
                </c:pt>
                <c:pt idx="46">
                  <c:v>8.8197485258975042E-2</c:v>
                </c:pt>
                <c:pt idx="47">
                  <c:v>9.701723378487255E-2</c:v>
                </c:pt>
                <c:pt idx="48">
                  <c:v>0.10671895716335981</c:v>
                </c:pt>
                <c:pt idx="49">
                  <c:v>0.11739085287969581</c:v>
                </c:pt>
                <c:pt idx="50">
                  <c:v>0.12912993816766541</c:v>
                </c:pt>
                <c:pt idx="51">
                  <c:v>0.14204293198443196</c:v>
                </c:pt>
                <c:pt idx="52">
                  <c:v>0.15624722518287518</c:v>
                </c:pt>
                <c:pt idx="53">
                  <c:v>0.17187194770116271</c:v>
                </c:pt>
                <c:pt idx="54">
                  <c:v>0.189059142471279</c:v>
                </c:pt>
                <c:pt idx="55">
                  <c:v>0.20796505671840693</c:v>
                </c:pt>
                <c:pt idx="56">
                  <c:v>0.22876156239024764</c:v>
                </c:pt>
                <c:pt idx="57">
                  <c:v>0.25163771862927242</c:v>
                </c:pt>
                <c:pt idx="58">
                  <c:v>0.27680149049219971</c:v>
                </c:pt>
                <c:pt idx="59">
                  <c:v>0.30448163954141971</c:v>
                </c:pt>
                <c:pt idx="60">
                  <c:v>0.33492980349556173</c:v>
                </c:pt>
                <c:pt idx="61">
                  <c:v>0.36842278384511795</c:v>
                </c:pt>
                <c:pt idx="62">
                  <c:v>0.40526506222962977</c:v>
                </c:pt>
                <c:pt idx="63">
                  <c:v>0.44579156845259277</c:v>
                </c:pt>
                <c:pt idx="64">
                  <c:v>0.49037072529785208</c:v>
                </c:pt>
                <c:pt idx="65">
                  <c:v>0.53940779782763737</c:v>
                </c:pt>
                <c:pt idx="66">
                  <c:v>0.59334857761040116</c:v>
                </c:pt>
                <c:pt idx="67">
                  <c:v>0.65268343537144136</c:v>
                </c:pt>
                <c:pt idx="68">
                  <c:v>0.71795177890858553</c:v>
                </c:pt>
                <c:pt idx="69">
                  <c:v>0.78974695679944418</c:v>
                </c:pt>
                <c:pt idx="70">
                  <c:v>0.86872165247938871</c:v>
                </c:pt>
                <c:pt idx="71">
                  <c:v>0.95559381772732765</c:v>
                </c:pt>
                <c:pt idx="72">
                  <c:v>1.0511531995000605</c:v>
                </c:pt>
                <c:pt idx="73">
                  <c:v>1.1562685194500666</c:v>
                </c:pt>
                <c:pt idx="74">
                  <c:v>1.2718953713950734</c:v>
                </c:pt>
                <c:pt idx="75">
                  <c:v>1.3990849085345809</c:v>
                </c:pt>
                <c:pt idx="76">
                  <c:v>1.5389933993880391</c:v>
                </c:pt>
                <c:pt idx="77">
                  <c:v>1.6928927393268431</c:v>
                </c:pt>
                <c:pt idx="78">
                  <c:v>1.8621820132595277</c:v>
                </c:pt>
                <c:pt idx="79">
                  <c:v>2.0484002145854805</c:v>
                </c:pt>
                <c:pt idx="80">
                  <c:v>2.2532402360440287</c:v>
                </c:pt>
                <c:pt idx="81">
                  <c:v>2.4785642596484316</c:v>
                </c:pt>
                <c:pt idx="82">
                  <c:v>2.7264206856132751</c:v>
                </c:pt>
                <c:pt idx="83">
                  <c:v>2.9990627541746027</c:v>
                </c:pt>
                <c:pt idx="84">
                  <c:v>3.2989690295920631</c:v>
                </c:pt>
                <c:pt idx="85">
                  <c:v>3.6288659325512698</c:v>
                </c:pt>
                <c:pt idx="86">
                  <c:v>3.9917525258063971</c:v>
                </c:pt>
                <c:pt idx="87">
                  <c:v>4.3909277783870371</c:v>
                </c:pt>
                <c:pt idx="88">
                  <c:v>4.8300205562257412</c:v>
                </c:pt>
                <c:pt idx="89">
                  <c:v>5.3130226118483161</c:v>
                </c:pt>
                <c:pt idx="90">
                  <c:v>5.8443248730331483</c:v>
                </c:pt>
                <c:pt idx="91">
                  <c:v>6.4287573603364638</c:v>
                </c:pt>
                <c:pt idx="92">
                  <c:v>7.0716330963701104</c:v>
                </c:pt>
                <c:pt idx="93">
                  <c:v>7.778796406007122</c:v>
                </c:pt>
                <c:pt idx="94">
                  <c:v>8.5566760466078353</c:v>
                </c:pt>
                <c:pt idx="95">
                  <c:v>9.4123436512686194</c:v>
                </c:pt>
                <c:pt idx="96">
                  <c:v>10.353578016395483</c:v>
                </c:pt>
                <c:pt idx="97">
                  <c:v>10.353578016395483</c:v>
                </c:pt>
                <c:pt idx="98">
                  <c:v>10.353578016395483</c:v>
                </c:pt>
                <c:pt idx="99">
                  <c:v>10.353578016395483</c:v>
                </c:pt>
                <c:pt idx="100">
                  <c:v>10.353578016395483</c:v>
                </c:pt>
                <c:pt idx="101">
                  <c:v>10.353578016395483</c:v>
                </c:pt>
                <c:pt idx="102">
                  <c:v>10.353578016395483</c:v>
                </c:pt>
                <c:pt idx="103">
                  <c:v>10.353578016395483</c:v>
                </c:pt>
                <c:pt idx="104">
                  <c:v>10.353578016395483</c:v>
                </c:pt>
                <c:pt idx="105">
                  <c:v>10.353578016395483</c:v>
                </c:pt>
                <c:pt idx="106">
                  <c:v>10.353578016395483</c:v>
                </c:pt>
                <c:pt idx="107">
                  <c:v>10.353578016395483</c:v>
                </c:pt>
                <c:pt idx="108">
                  <c:v>10.353578016395483</c:v>
                </c:pt>
                <c:pt idx="109">
                  <c:v>10.353578016395483</c:v>
                </c:pt>
                <c:pt idx="110">
                  <c:v>10.353578016395483</c:v>
                </c:pt>
                <c:pt idx="111">
                  <c:v>10.353578016395483</c:v>
                </c:pt>
                <c:pt idx="112">
                  <c:v>10.353578016395483</c:v>
                </c:pt>
                <c:pt idx="113">
                  <c:v>10.353578016395483</c:v>
                </c:pt>
                <c:pt idx="114">
                  <c:v>10.353578016395483</c:v>
                </c:pt>
                <c:pt idx="115">
                  <c:v>10.353578016395483</c:v>
                </c:pt>
                <c:pt idx="116">
                  <c:v>10.353578016395483</c:v>
                </c:pt>
                <c:pt idx="117">
                  <c:v>10.353578016395483</c:v>
                </c:pt>
                <c:pt idx="118">
                  <c:v>10.353578016395483</c:v>
                </c:pt>
                <c:pt idx="119">
                  <c:v>10.353578016395483</c:v>
                </c:pt>
                <c:pt idx="120">
                  <c:v>10.353578016395483</c:v>
                </c:pt>
                <c:pt idx="121">
                  <c:v>10.353578016395483</c:v>
                </c:pt>
                <c:pt idx="122">
                  <c:v>10.353578016395483</c:v>
                </c:pt>
                <c:pt idx="123">
                  <c:v>10.353578016395483</c:v>
                </c:pt>
                <c:pt idx="124">
                  <c:v>10.353578016395483</c:v>
                </c:pt>
                <c:pt idx="125">
                  <c:v>10.353578016395483</c:v>
                </c:pt>
                <c:pt idx="126">
                  <c:v>10.353578016395483</c:v>
                </c:pt>
                <c:pt idx="127">
                  <c:v>10.353578016395483</c:v>
                </c:pt>
                <c:pt idx="128">
                  <c:v>10.353578016395483</c:v>
                </c:pt>
                <c:pt idx="129">
                  <c:v>10.353578016395483</c:v>
                </c:pt>
                <c:pt idx="130">
                  <c:v>10.353578016395483</c:v>
                </c:pt>
                <c:pt idx="131">
                  <c:v>10.353578016395483</c:v>
                </c:pt>
                <c:pt idx="132">
                  <c:v>10.353578016395483</c:v>
                </c:pt>
                <c:pt idx="133">
                  <c:v>10.353578016395483</c:v>
                </c:pt>
                <c:pt idx="134">
                  <c:v>10.353578016395483</c:v>
                </c:pt>
                <c:pt idx="135">
                  <c:v>10.353578016395483</c:v>
                </c:pt>
                <c:pt idx="136">
                  <c:v>10.353578016395483</c:v>
                </c:pt>
                <c:pt idx="137">
                  <c:v>10.353578016395483</c:v>
                </c:pt>
                <c:pt idx="138">
                  <c:v>10.353578016395483</c:v>
                </c:pt>
                <c:pt idx="139">
                  <c:v>10.353578016395483</c:v>
                </c:pt>
                <c:pt idx="140">
                  <c:v>10.353578016395483</c:v>
                </c:pt>
                <c:pt idx="141">
                  <c:v>10.353578016395483</c:v>
                </c:pt>
                <c:pt idx="142">
                  <c:v>10.353578016395483</c:v>
                </c:pt>
                <c:pt idx="143">
                  <c:v>10.353578016395483</c:v>
                </c:pt>
                <c:pt idx="144">
                  <c:v>10.353578016395483</c:v>
                </c:pt>
                <c:pt idx="145">
                  <c:v>10.353578016395483</c:v>
                </c:pt>
                <c:pt idx="146">
                  <c:v>10.353578016395483</c:v>
                </c:pt>
                <c:pt idx="147">
                  <c:v>10.353578016395483</c:v>
                </c:pt>
                <c:pt idx="148">
                  <c:v>10.353578016395483</c:v>
                </c:pt>
                <c:pt idx="149">
                  <c:v>10.353578016395483</c:v>
                </c:pt>
                <c:pt idx="150">
                  <c:v>10.353578016395483</c:v>
                </c:pt>
                <c:pt idx="151">
                  <c:v>10.353578016395483</c:v>
                </c:pt>
                <c:pt idx="152">
                  <c:v>10.353578016395483</c:v>
                </c:pt>
                <c:pt idx="153">
                  <c:v>10.353578016395483</c:v>
                </c:pt>
                <c:pt idx="154">
                  <c:v>10.353578016395483</c:v>
                </c:pt>
                <c:pt idx="155">
                  <c:v>10.353578016395483</c:v>
                </c:pt>
                <c:pt idx="156">
                  <c:v>10.353578016395483</c:v>
                </c:pt>
                <c:pt idx="157">
                  <c:v>10.353578016395483</c:v>
                </c:pt>
                <c:pt idx="158">
                  <c:v>10.353578016395483</c:v>
                </c:pt>
                <c:pt idx="159">
                  <c:v>10.353578016395483</c:v>
                </c:pt>
                <c:pt idx="160">
                  <c:v>10.353578016395483</c:v>
                </c:pt>
                <c:pt idx="161">
                  <c:v>10.353578016395483</c:v>
                </c:pt>
                <c:pt idx="162">
                  <c:v>10.353578016395483</c:v>
                </c:pt>
                <c:pt idx="163">
                  <c:v>10.353578016395483</c:v>
                </c:pt>
                <c:pt idx="164">
                  <c:v>10.353578016395483</c:v>
                </c:pt>
                <c:pt idx="165">
                  <c:v>10.353578016395483</c:v>
                </c:pt>
                <c:pt idx="166">
                  <c:v>10.353578016395483</c:v>
                </c:pt>
                <c:pt idx="167">
                  <c:v>10.353578016395483</c:v>
                </c:pt>
                <c:pt idx="168">
                  <c:v>10.353578016395483</c:v>
                </c:pt>
                <c:pt idx="169">
                  <c:v>10.353578016395483</c:v>
                </c:pt>
                <c:pt idx="170">
                  <c:v>10.353578016395483</c:v>
                </c:pt>
                <c:pt idx="171">
                  <c:v>10.353578016395483</c:v>
                </c:pt>
                <c:pt idx="172">
                  <c:v>10.353578016395483</c:v>
                </c:pt>
                <c:pt idx="173">
                  <c:v>10.353578016395483</c:v>
                </c:pt>
                <c:pt idx="174">
                  <c:v>10.353578016395483</c:v>
                </c:pt>
                <c:pt idx="175">
                  <c:v>10.353578016395483</c:v>
                </c:pt>
                <c:pt idx="176">
                  <c:v>10.353578016395483</c:v>
                </c:pt>
                <c:pt idx="177">
                  <c:v>10.353578016395483</c:v>
                </c:pt>
                <c:pt idx="178">
                  <c:v>10.353578016395483</c:v>
                </c:pt>
                <c:pt idx="179">
                  <c:v>10.353578016395483</c:v>
                </c:pt>
                <c:pt idx="180">
                  <c:v>10.353578016395483</c:v>
                </c:pt>
                <c:pt idx="181">
                  <c:v>10.353578016395483</c:v>
                </c:pt>
                <c:pt idx="182">
                  <c:v>10.353578016395483</c:v>
                </c:pt>
                <c:pt idx="183">
                  <c:v>10.353578016395483</c:v>
                </c:pt>
                <c:pt idx="184">
                  <c:v>10.353578016395483</c:v>
                </c:pt>
                <c:pt idx="185">
                  <c:v>10.353578016395483</c:v>
                </c:pt>
                <c:pt idx="186">
                  <c:v>10.353578016395483</c:v>
                </c:pt>
                <c:pt idx="187">
                  <c:v>10.353578016395483</c:v>
                </c:pt>
                <c:pt idx="188">
                  <c:v>10.353578016395483</c:v>
                </c:pt>
                <c:pt idx="189">
                  <c:v>10.353578016395483</c:v>
                </c:pt>
                <c:pt idx="190">
                  <c:v>10.353578016395483</c:v>
                </c:pt>
                <c:pt idx="191">
                  <c:v>10.353578016395483</c:v>
                </c:pt>
                <c:pt idx="192">
                  <c:v>10.353578016395483</c:v>
                </c:pt>
                <c:pt idx="193">
                  <c:v>10.353578016395483</c:v>
                </c:pt>
                <c:pt idx="194">
                  <c:v>10.353578016395483</c:v>
                </c:pt>
                <c:pt idx="195">
                  <c:v>10.353578016395483</c:v>
                </c:pt>
                <c:pt idx="196">
                  <c:v>10.353578016395483</c:v>
                </c:pt>
                <c:pt idx="197">
                  <c:v>10.353578016395483</c:v>
                </c:pt>
                <c:pt idx="198">
                  <c:v>10.353578016395483</c:v>
                </c:pt>
                <c:pt idx="199">
                  <c:v>10.353578016395483</c:v>
                </c:pt>
                <c:pt idx="200">
                  <c:v>10.353578016395483</c:v>
                </c:pt>
                <c:pt idx="201">
                  <c:v>10.353578016395483</c:v>
                </c:pt>
                <c:pt idx="202">
                  <c:v>10.353578016395483</c:v>
                </c:pt>
                <c:pt idx="203">
                  <c:v>10.353578016395483</c:v>
                </c:pt>
                <c:pt idx="204">
                  <c:v>10.353578016395483</c:v>
                </c:pt>
                <c:pt idx="205">
                  <c:v>10.353578016395483</c:v>
                </c:pt>
                <c:pt idx="206">
                  <c:v>10.353578016395483</c:v>
                </c:pt>
                <c:pt idx="207">
                  <c:v>10.353578016395483</c:v>
                </c:pt>
                <c:pt idx="208">
                  <c:v>10.353578016395483</c:v>
                </c:pt>
                <c:pt idx="209">
                  <c:v>10.353578016395483</c:v>
                </c:pt>
                <c:pt idx="210">
                  <c:v>10.353578016395483</c:v>
                </c:pt>
                <c:pt idx="211">
                  <c:v>10.353578016395483</c:v>
                </c:pt>
                <c:pt idx="212">
                  <c:v>10.353578016395483</c:v>
                </c:pt>
                <c:pt idx="213">
                  <c:v>10.353578016395483</c:v>
                </c:pt>
                <c:pt idx="214">
                  <c:v>10.353578016395483</c:v>
                </c:pt>
                <c:pt idx="215">
                  <c:v>10.353578016395483</c:v>
                </c:pt>
                <c:pt idx="216">
                  <c:v>10.353578016395483</c:v>
                </c:pt>
                <c:pt idx="217">
                  <c:v>10.353578016395483</c:v>
                </c:pt>
                <c:pt idx="218">
                  <c:v>10.353578016395483</c:v>
                </c:pt>
                <c:pt idx="219">
                  <c:v>10.353578016395483</c:v>
                </c:pt>
                <c:pt idx="220">
                  <c:v>10.353578016395483</c:v>
                </c:pt>
                <c:pt idx="221">
                  <c:v>10.353578016395483</c:v>
                </c:pt>
                <c:pt idx="222">
                  <c:v>10.353578016395483</c:v>
                </c:pt>
                <c:pt idx="223">
                  <c:v>10.353578016395483</c:v>
                </c:pt>
                <c:pt idx="224">
                  <c:v>10.353578016395483</c:v>
                </c:pt>
              </c:numCache>
            </c:numRef>
          </c:xVal>
          <c:yVal>
            <c:numRef>
              <c:f>'4_5'!$K$104:$K$328</c:f>
              <c:numCache>
                <c:formatCode>General</c:formatCode>
                <c:ptCount val="225"/>
                <c:pt idx="0">
                  <c:v>8.3333333809156525</c:v>
                </c:pt>
                <c:pt idx="1">
                  <c:v>8.3333334231218839</c:v>
                </c:pt>
                <c:pt idx="2">
                  <c:v>8.3333334891419142</c:v>
                </c:pt>
                <c:pt idx="3">
                  <c:v>8.3333335909151636</c:v>
                </c:pt>
                <c:pt idx="4">
                  <c:v>8.3333337461085009</c:v>
                </c:pt>
                <c:pt idx="5">
                  <c:v>8.3333339808134816</c:v>
                </c:pt>
                <c:pt idx="6">
                  <c:v>8.333334333503613</c:v>
                </c:pt>
                <c:pt idx="7">
                  <c:v>8.3333348608380984</c:v>
                </c:pt>
                <c:pt idx="8">
                  <c:v>8.3333356461711645</c:v>
                </c:pt>
                <c:pt idx="9">
                  <c:v>8.3333368120251077</c:v>
                </c:pt>
                <c:pt idx="10">
                  <c:v>8.3333385383697074</c:v>
                </c:pt>
                <c:pt idx="11">
                  <c:v>8.3333410894064226</c:v>
                </c:pt>
                <c:pt idx="12">
                  <c:v>8.3333448528089384</c:v>
                </c:pt>
                <c:pt idx="13">
                  <c:v>8.3333503972064484</c:v>
                </c:pt>
                <c:pt idx="14">
                  <c:v>8.3333585563827111</c:v>
                </c:pt>
                <c:pt idx="15">
                  <c:v>8.3333705525975503</c:v>
                </c:pt>
                <c:pt idx="16">
                  <c:v>8.333388177197202</c:v>
                </c:pt>
                <c:pt idx="17">
                  <c:v>8.3334140551127653</c:v>
                </c:pt>
                <c:pt idx="18">
                  <c:v>8.3334520321933958</c:v>
                </c:pt>
                <c:pt idx="19">
                  <c:v>8.3335077423987336</c:v>
                </c:pt>
                <c:pt idx="20">
                  <c:v>8.3335894383438891</c:v>
                </c:pt>
                <c:pt idx="21">
                  <c:v>8.3337092074437518</c:v>
                </c:pt>
                <c:pt idx="22">
                  <c:v>8.3338847526433995</c:v>
                </c:pt>
                <c:pt idx="23">
                  <c:v>8.3341419997954524</c:v>
                </c:pt>
                <c:pt idx="24">
                  <c:v>8.3345189153753267</c:v>
                </c:pt>
                <c:pt idx="25">
                  <c:v>8.3350710963055281</c:v>
                </c:pt>
                <c:pt idx="26">
                  <c:v>8.3358799543893838</c:v>
                </c:pt>
                <c:pt idx="27">
                  <c:v>8.3370646995905346</c:v>
                </c:pt>
                <c:pt idx="28">
                  <c:v>8.3387998852970373</c:v>
                </c:pt>
                <c:pt idx="29">
                  <c:v>8.3413410970015001</c:v>
                </c:pt>
                <c:pt idx="30">
                  <c:v>8.3450625638950076</c:v>
                </c:pt>
                <c:pt idx="31">
                  <c:v>8.3505122269665666</c:v>
                </c:pt>
                <c:pt idx="32">
                  <c:v>8.3584923653748913</c:v>
                </c:pt>
                <c:pt idx="33">
                  <c:v>8.3701776429318766</c:v>
                </c:pt>
                <c:pt idx="34">
                  <c:v>8.3872879416682249</c:v>
                </c:pt>
                <c:pt idx="35">
                  <c:v>8.4123414095249629</c:v>
                </c:pt>
                <c:pt idx="36">
                  <c:v>8.449024949981002</c:v>
                </c:pt>
                <c:pt idx="37">
                  <c:v>8.5027366589447411</c:v>
                </c:pt>
                <c:pt idx="38">
                  <c:v>8.5813800102708413</c:v>
                </c:pt>
                <c:pt idx="39">
                  <c:v>8.6965266272084527</c:v>
                </c:pt>
                <c:pt idx="40">
                  <c:v>8.8651187014426984</c:v>
                </c:pt>
                <c:pt idx="41">
                  <c:v>9.1119615113038872</c:v>
                </c:pt>
                <c:pt idx="42">
                  <c:v>9.4733727255311972</c:v>
                </c:pt>
                <c:pt idx="43">
                  <c:v>10.002525358415951</c:v>
                </c:pt>
                <c:pt idx="44">
                  <c:v>10.777270401925318</c:v>
                </c:pt>
                <c:pt idx="45">
                  <c:v>11.911589955307774</c:v>
                </c:pt>
                <c:pt idx="46">
                  <c:v>13.572365768983301</c:v>
                </c:pt>
                <c:pt idx="47">
                  <c:v>16.003930090023246</c:v>
                </c:pt>
                <c:pt idx="48">
                  <c:v>19.56401057966535</c:v>
                </c:pt>
                <c:pt idx="49">
                  <c:v>24.776357296871424</c:v>
                </c:pt>
                <c:pt idx="50">
                  <c:v>32.407793901041373</c:v>
                </c:pt>
                <c:pt idx="51">
                  <c:v>43.581028361571889</c:v>
                </c:pt>
                <c:pt idx="52">
                  <c:v>59.939819170556632</c:v>
                </c:pt>
                <c:pt idx="53">
                  <c:v>83.890795258730819</c:v>
                </c:pt>
                <c:pt idx="54">
                  <c:v>118.95750461176169</c:v>
                </c:pt>
                <c:pt idx="55">
                  <c:v>170.29877694295945</c:v>
                </c:pt>
                <c:pt idx="56">
                  <c:v>245.4676585956507</c:v>
                </c:pt>
                <c:pt idx="57">
                  <c:v>355.52256927078338</c:v>
                </c:pt>
                <c:pt idx="58">
                  <c:v>516.65414675763247</c:v>
                </c:pt>
                <c:pt idx="59">
                  <c:v>752.56711050466686</c:v>
                </c:pt>
                <c:pt idx="60">
                  <c:v>1097.9675483164315</c:v>
                </c:pt>
                <c:pt idx="61">
                  <c:v>1603.6686531002113</c:v>
                </c:pt>
                <c:pt idx="62">
                  <c:v>2344.0660323922684</c:v>
                </c:pt>
                <c:pt idx="63">
                  <c:v>3428.0823094653028</c:v>
                </c:pt>
                <c:pt idx="64">
                  <c:v>5015.1911143302868</c:v>
                </c:pt>
                <c:pt idx="65">
                  <c:v>7338.8778095919606</c:v>
                </c:pt>
                <c:pt idx="66">
                  <c:v>10740.988339935788</c:v>
                </c:pt>
                <c:pt idx="67">
                  <c:v>15722.019383583742</c:v>
                </c:pt>
                <c:pt idx="68">
                  <c:v>23014.748164156299</c:v>
                </c:pt>
                <c:pt idx="69">
                  <c:v>33692.033859569376</c:v>
                </c:pt>
                <c:pt idx="70">
                  <c:v>49324.649646433565</c:v>
                </c:pt>
                <c:pt idx="71">
                  <c:v>72212.364598235421</c:v>
                </c:pt>
                <c:pt idx="72">
                  <c:v>105722.27069485583</c:v>
                </c:pt>
                <c:pt idx="73">
                  <c:v>154784.12740009947</c:v>
                </c:pt>
                <c:pt idx="74">
                  <c:v>226615.59566115655</c:v>
                </c:pt>
                <c:pt idx="75">
                  <c:v>331784.05301145109</c:v>
                </c:pt>
                <c:pt idx="76">
                  <c:v>485761.19706784736</c:v>
                </c:pt>
                <c:pt idx="77">
                  <c:v>711199.14051711082</c:v>
                </c:pt>
                <c:pt idx="78">
                  <c:v>1041262.8417930943</c:v>
                </c:pt>
                <c:pt idx="79">
                  <c:v>1524509.1168402792</c:v>
                </c:pt>
                <c:pt idx="80">
                  <c:v>2232030.0002477751</c:v>
                </c:pt>
                <c:pt idx="81">
                  <c:v>3267911.3402988934</c:v>
                </c:pt>
                <c:pt idx="82">
                  <c:v>4784545.227999324</c:v>
                </c:pt>
                <c:pt idx="83">
                  <c:v>7005048.9244367387</c:v>
                </c:pt>
                <c:pt idx="84">
                  <c:v>10256088.41235158</c:v>
                </c:pt>
                <c:pt idx="85">
                  <c:v>15015935.358020285</c:v>
                </c:pt>
                <c:pt idx="86">
                  <c:v>21984827.30918308</c:v>
                </c:pt>
                <c:pt idx="87">
                  <c:v>32187982.060871683</c:v>
                </c:pt>
                <c:pt idx="88">
                  <c:v>47126420.988468297</c:v>
                </c:pt>
                <c:pt idx="89">
                  <c:v>68997789.489698187</c:v>
                </c:pt>
                <c:pt idx="90">
                  <c:v>101019660.19382502</c:v>
                </c:pt>
                <c:pt idx="91">
                  <c:v>147902881.19032329</c:v>
                </c:pt>
                <c:pt idx="92">
                  <c:v>216544605.17058563</c:v>
                </c:pt>
                <c:pt idx="93">
                  <c:v>317042953.39442778</c:v>
                </c:pt>
                <c:pt idx="94">
                  <c:v>464182585.20360661</c:v>
                </c:pt>
                <c:pt idx="95">
                  <c:v>679609720.34675336</c:v>
                </c:pt>
                <c:pt idx="96">
                  <c:v>995016589.16554201</c:v>
                </c:pt>
                <c:pt idx="97">
                  <c:v>995016589.16554201</c:v>
                </c:pt>
                <c:pt idx="98">
                  <c:v>995016589.16554201</c:v>
                </c:pt>
                <c:pt idx="99">
                  <c:v>995016589.16554201</c:v>
                </c:pt>
                <c:pt idx="100">
                  <c:v>995016589.16554201</c:v>
                </c:pt>
                <c:pt idx="101">
                  <c:v>995016589.16554201</c:v>
                </c:pt>
                <c:pt idx="102">
                  <c:v>995016589.16554201</c:v>
                </c:pt>
                <c:pt idx="103">
                  <c:v>995016589.16554201</c:v>
                </c:pt>
                <c:pt idx="104">
                  <c:v>995016589.16554201</c:v>
                </c:pt>
                <c:pt idx="105">
                  <c:v>995016589.16554201</c:v>
                </c:pt>
                <c:pt idx="106">
                  <c:v>995016589.16554201</c:v>
                </c:pt>
                <c:pt idx="107">
                  <c:v>995016589.16554201</c:v>
                </c:pt>
                <c:pt idx="108">
                  <c:v>995016589.16554201</c:v>
                </c:pt>
                <c:pt idx="109">
                  <c:v>995016589.16554201</c:v>
                </c:pt>
                <c:pt idx="110">
                  <c:v>995016589.16554201</c:v>
                </c:pt>
                <c:pt idx="111">
                  <c:v>995016589.16554201</c:v>
                </c:pt>
                <c:pt idx="112">
                  <c:v>995016589.16554201</c:v>
                </c:pt>
                <c:pt idx="113">
                  <c:v>995016589.16554201</c:v>
                </c:pt>
                <c:pt idx="114">
                  <c:v>995016589.16554201</c:v>
                </c:pt>
                <c:pt idx="115">
                  <c:v>995016589.16554201</c:v>
                </c:pt>
                <c:pt idx="116">
                  <c:v>995016589.16554201</c:v>
                </c:pt>
                <c:pt idx="117">
                  <c:v>995016589.16554201</c:v>
                </c:pt>
                <c:pt idx="118">
                  <c:v>995016589.16554201</c:v>
                </c:pt>
                <c:pt idx="119">
                  <c:v>995016589.16554201</c:v>
                </c:pt>
                <c:pt idx="120">
                  <c:v>995016589.16554201</c:v>
                </c:pt>
                <c:pt idx="121">
                  <c:v>995016589.16554201</c:v>
                </c:pt>
                <c:pt idx="122">
                  <c:v>995016589.16554201</c:v>
                </c:pt>
                <c:pt idx="123">
                  <c:v>995016589.16554201</c:v>
                </c:pt>
                <c:pt idx="124">
                  <c:v>995016589.16554201</c:v>
                </c:pt>
                <c:pt idx="125">
                  <c:v>995016589.16554201</c:v>
                </c:pt>
                <c:pt idx="126">
                  <c:v>995016589.16554201</c:v>
                </c:pt>
                <c:pt idx="127">
                  <c:v>995016589.16554201</c:v>
                </c:pt>
                <c:pt idx="128">
                  <c:v>995016589.16554201</c:v>
                </c:pt>
                <c:pt idx="129">
                  <c:v>995016589.16554201</c:v>
                </c:pt>
                <c:pt idx="130">
                  <c:v>995016589.16554201</c:v>
                </c:pt>
                <c:pt idx="131">
                  <c:v>995016589.16554201</c:v>
                </c:pt>
                <c:pt idx="132">
                  <c:v>995016589.16554201</c:v>
                </c:pt>
                <c:pt idx="133">
                  <c:v>995016589.16554201</c:v>
                </c:pt>
                <c:pt idx="134">
                  <c:v>995016589.16554201</c:v>
                </c:pt>
                <c:pt idx="135">
                  <c:v>995016589.16554201</c:v>
                </c:pt>
                <c:pt idx="136">
                  <c:v>995016589.16554201</c:v>
                </c:pt>
                <c:pt idx="137">
                  <c:v>995016589.16554201</c:v>
                </c:pt>
                <c:pt idx="138">
                  <c:v>995016589.16554201</c:v>
                </c:pt>
                <c:pt idx="139">
                  <c:v>995016589.16554201</c:v>
                </c:pt>
                <c:pt idx="140">
                  <c:v>995016589.16554201</c:v>
                </c:pt>
                <c:pt idx="141">
                  <c:v>995016589.16554201</c:v>
                </c:pt>
                <c:pt idx="142">
                  <c:v>995016589.16554201</c:v>
                </c:pt>
                <c:pt idx="143">
                  <c:v>995016589.16554201</c:v>
                </c:pt>
                <c:pt idx="144">
                  <c:v>995016589.16554201</c:v>
                </c:pt>
                <c:pt idx="145">
                  <c:v>995016589.16554201</c:v>
                </c:pt>
                <c:pt idx="146">
                  <c:v>995016589.16554201</c:v>
                </c:pt>
                <c:pt idx="147">
                  <c:v>995016589.16554201</c:v>
                </c:pt>
                <c:pt idx="148">
                  <c:v>995016589.16554201</c:v>
                </c:pt>
                <c:pt idx="149">
                  <c:v>995016589.16554201</c:v>
                </c:pt>
                <c:pt idx="150">
                  <c:v>995016589.16554201</c:v>
                </c:pt>
                <c:pt idx="151">
                  <c:v>995016589.16554201</c:v>
                </c:pt>
                <c:pt idx="152">
                  <c:v>995016589.16554201</c:v>
                </c:pt>
                <c:pt idx="153">
                  <c:v>995016589.16554201</c:v>
                </c:pt>
                <c:pt idx="154">
                  <c:v>995016589.16554201</c:v>
                </c:pt>
                <c:pt idx="155">
                  <c:v>995016589.16554201</c:v>
                </c:pt>
                <c:pt idx="156">
                  <c:v>995016589.16554201</c:v>
                </c:pt>
                <c:pt idx="157">
                  <c:v>995016589.16554201</c:v>
                </c:pt>
                <c:pt idx="158">
                  <c:v>995016589.16554201</c:v>
                </c:pt>
                <c:pt idx="159">
                  <c:v>995016589.16554201</c:v>
                </c:pt>
                <c:pt idx="160">
                  <c:v>995016589.16554201</c:v>
                </c:pt>
                <c:pt idx="161">
                  <c:v>995016589.16554201</c:v>
                </c:pt>
                <c:pt idx="162">
                  <c:v>995016589.16554201</c:v>
                </c:pt>
                <c:pt idx="163">
                  <c:v>995016589.16554201</c:v>
                </c:pt>
                <c:pt idx="164">
                  <c:v>995016589.16554201</c:v>
                </c:pt>
                <c:pt idx="165">
                  <c:v>995016589.16554201</c:v>
                </c:pt>
                <c:pt idx="166">
                  <c:v>995016589.16554201</c:v>
                </c:pt>
                <c:pt idx="167">
                  <c:v>995016589.16554201</c:v>
                </c:pt>
                <c:pt idx="168">
                  <c:v>995016589.16554201</c:v>
                </c:pt>
                <c:pt idx="169">
                  <c:v>995016589.16554201</c:v>
                </c:pt>
                <c:pt idx="170">
                  <c:v>995016589.16554201</c:v>
                </c:pt>
                <c:pt idx="171">
                  <c:v>995016589.16554201</c:v>
                </c:pt>
                <c:pt idx="172">
                  <c:v>995016589.16554201</c:v>
                </c:pt>
                <c:pt idx="173">
                  <c:v>995016589.16554201</c:v>
                </c:pt>
                <c:pt idx="174">
                  <c:v>995016589.16554201</c:v>
                </c:pt>
                <c:pt idx="175">
                  <c:v>995016589.16554201</c:v>
                </c:pt>
                <c:pt idx="176">
                  <c:v>995016589.16554201</c:v>
                </c:pt>
                <c:pt idx="177">
                  <c:v>995016589.16554201</c:v>
                </c:pt>
                <c:pt idx="178">
                  <c:v>995016589.16554201</c:v>
                </c:pt>
                <c:pt idx="179">
                  <c:v>995016589.16554201</c:v>
                </c:pt>
                <c:pt idx="180">
                  <c:v>995016589.16554201</c:v>
                </c:pt>
                <c:pt idx="181">
                  <c:v>995016589.16554201</c:v>
                </c:pt>
                <c:pt idx="182">
                  <c:v>995016589.16554201</c:v>
                </c:pt>
                <c:pt idx="183">
                  <c:v>995016589.16554201</c:v>
                </c:pt>
                <c:pt idx="184">
                  <c:v>995016589.16554201</c:v>
                </c:pt>
                <c:pt idx="185">
                  <c:v>995016589.16554201</c:v>
                </c:pt>
                <c:pt idx="186">
                  <c:v>995016589.16554201</c:v>
                </c:pt>
                <c:pt idx="187">
                  <c:v>995016589.16554201</c:v>
                </c:pt>
                <c:pt idx="188">
                  <c:v>995016589.16554201</c:v>
                </c:pt>
                <c:pt idx="189">
                  <c:v>995016589.16554201</c:v>
                </c:pt>
                <c:pt idx="190">
                  <c:v>995016589.16554201</c:v>
                </c:pt>
                <c:pt idx="191">
                  <c:v>995016589.16554201</c:v>
                </c:pt>
                <c:pt idx="192">
                  <c:v>995016589.16554201</c:v>
                </c:pt>
                <c:pt idx="193">
                  <c:v>995016589.16554201</c:v>
                </c:pt>
                <c:pt idx="194">
                  <c:v>995016589.16554201</c:v>
                </c:pt>
                <c:pt idx="195">
                  <c:v>995016589.16554201</c:v>
                </c:pt>
                <c:pt idx="196">
                  <c:v>995016589.16554201</c:v>
                </c:pt>
                <c:pt idx="197">
                  <c:v>995016589.16554201</c:v>
                </c:pt>
                <c:pt idx="198">
                  <c:v>995016589.16554201</c:v>
                </c:pt>
                <c:pt idx="199">
                  <c:v>995016589.16554201</c:v>
                </c:pt>
                <c:pt idx="200">
                  <c:v>995016589.16554201</c:v>
                </c:pt>
                <c:pt idx="201">
                  <c:v>995016589.16554201</c:v>
                </c:pt>
                <c:pt idx="202">
                  <c:v>995016589.16554201</c:v>
                </c:pt>
                <c:pt idx="203">
                  <c:v>995016589.16554201</c:v>
                </c:pt>
                <c:pt idx="204">
                  <c:v>995016589.16554201</c:v>
                </c:pt>
                <c:pt idx="205">
                  <c:v>995016589.16554201</c:v>
                </c:pt>
                <c:pt idx="206">
                  <c:v>995016589.16554201</c:v>
                </c:pt>
                <c:pt idx="207">
                  <c:v>995016589.16554201</c:v>
                </c:pt>
                <c:pt idx="208">
                  <c:v>995016589.16554201</c:v>
                </c:pt>
                <c:pt idx="209">
                  <c:v>995016589.16554201</c:v>
                </c:pt>
                <c:pt idx="210">
                  <c:v>995016589.16554201</c:v>
                </c:pt>
                <c:pt idx="211">
                  <c:v>995016589.16554201</c:v>
                </c:pt>
                <c:pt idx="212">
                  <c:v>995016589.16554201</c:v>
                </c:pt>
                <c:pt idx="213">
                  <c:v>995016589.16554201</c:v>
                </c:pt>
                <c:pt idx="214">
                  <c:v>995016589.16554201</c:v>
                </c:pt>
                <c:pt idx="215">
                  <c:v>995016589.16554201</c:v>
                </c:pt>
                <c:pt idx="216">
                  <c:v>995016589.16554201</c:v>
                </c:pt>
                <c:pt idx="217">
                  <c:v>995016589.16554201</c:v>
                </c:pt>
                <c:pt idx="218">
                  <c:v>995016589.16554201</c:v>
                </c:pt>
                <c:pt idx="219">
                  <c:v>995016589.16554201</c:v>
                </c:pt>
                <c:pt idx="220">
                  <c:v>995016589.16554201</c:v>
                </c:pt>
                <c:pt idx="221">
                  <c:v>995016589.16554201</c:v>
                </c:pt>
                <c:pt idx="222">
                  <c:v>995016589.16554201</c:v>
                </c:pt>
                <c:pt idx="223">
                  <c:v>995016589.16554201</c:v>
                </c:pt>
                <c:pt idx="224">
                  <c:v>995016589.16554201</c:v>
                </c:pt>
              </c:numCache>
            </c:numRef>
          </c:yVal>
        </c:ser>
        <c:axId val="104588416"/>
        <c:axId val="104590336"/>
      </c:scatterChart>
      <c:valAx>
        <c:axId val="104588416"/>
        <c:scaling>
          <c:logBase val="10"/>
          <c:orientation val="minMax"/>
          <c:max val="100"/>
          <c:min val="1.0000000000000018E-3"/>
        </c:scaling>
        <c:axPos val="b"/>
        <c:title>
          <c:tx>
            <c:rich>
              <a:bodyPr/>
              <a:lstStyle/>
              <a:p>
                <a:pPr>
                  <a:defRPr/>
                </a:pPr>
                <a:r>
                  <a:rPr lang="ja-JP" altLang="en-US"/>
                  <a:t>パイプの内径</a:t>
                </a:r>
                <a:r>
                  <a:rPr lang="ja-JP"/>
                  <a:t>　</a:t>
                </a:r>
                <a:r>
                  <a:rPr lang="en-US"/>
                  <a:t>(cm)</a:t>
                </a:r>
                <a:endParaRPr lang="ja-JP"/>
              </a:p>
            </c:rich>
          </c:tx>
          <c:layout>
            <c:manualLayout>
              <c:xMode val="edge"/>
              <c:yMode val="edge"/>
              <c:x val="0.38055110958541638"/>
              <c:y val="0.91203703703703709"/>
            </c:manualLayout>
          </c:layout>
        </c:title>
        <c:numFmt formatCode="General" sourceLinked="1"/>
        <c:majorTickMark val="in"/>
        <c:tickLblPos val="nextTo"/>
        <c:spPr>
          <a:ln>
            <a:solidFill>
              <a:schemeClr val="tx1"/>
            </a:solidFill>
          </a:ln>
        </c:spPr>
        <c:crossAx val="104590336"/>
        <c:crosses val="autoZero"/>
        <c:crossBetween val="midCat"/>
        <c:majorUnit val="10"/>
      </c:valAx>
      <c:valAx>
        <c:axId val="104590336"/>
        <c:scaling>
          <c:logBase val="10"/>
          <c:orientation val="minMax"/>
          <c:max val="10000000000"/>
          <c:min val="1"/>
        </c:scaling>
        <c:axPos val="l"/>
        <c:title>
          <c:tx>
            <c:rich>
              <a:bodyPr rot="-5400000" vert="horz"/>
              <a:lstStyle/>
              <a:p>
                <a:pPr>
                  <a:defRPr/>
                </a:pPr>
                <a:r>
                  <a:rPr lang="en-US" altLang="ja-JP" i="1"/>
                  <a:t>K</a:t>
                </a:r>
                <a:r>
                  <a:rPr lang="en-US" altLang="ja-JP" baseline="-25000"/>
                  <a:t>tot</a:t>
                </a:r>
                <a:r>
                  <a:rPr lang="en-US" altLang="ja-JP"/>
                  <a:t> </a:t>
                </a:r>
                <a:r>
                  <a:rPr lang="en-US"/>
                  <a:t>(cm</a:t>
                </a:r>
                <a:r>
                  <a:rPr lang="ja-JP" altLang="en-US"/>
                  <a:t>・ｈ</a:t>
                </a:r>
                <a:r>
                  <a:rPr lang="en-US"/>
                  <a:t>)</a:t>
                </a:r>
                <a:endParaRPr lang="ja-JP"/>
              </a:p>
            </c:rich>
          </c:tx>
          <c:layout>
            <c:manualLayout>
              <c:xMode val="edge"/>
              <c:yMode val="edge"/>
              <c:x val="3.2697536804194099E-2"/>
              <c:y val="0.33199699606814914"/>
            </c:manualLayout>
          </c:layout>
        </c:title>
        <c:numFmt formatCode="0.E+00" sourceLinked="0"/>
        <c:majorTickMark val="in"/>
        <c:tickLblPos val="low"/>
        <c:spPr>
          <a:ln>
            <a:solidFill>
              <a:schemeClr val="tx1"/>
            </a:solidFill>
          </a:ln>
        </c:spPr>
        <c:crossAx val="104588416"/>
        <c:crossesAt val="1.0000000000000018E-3"/>
        <c:crossBetween val="midCat"/>
        <c:majorUnit val="100"/>
      </c:valAx>
      <c:spPr>
        <a:ln>
          <a:solidFill>
            <a:schemeClr val="tx1"/>
          </a:solidFill>
        </a:ln>
      </c:spPr>
    </c:plotArea>
    <c:plotVisOnly val="1"/>
    <c:dispBlanksAs val="gap"/>
  </c:chart>
  <c:spPr>
    <a:ln>
      <a:noFill/>
    </a:ln>
  </c:spPr>
  <c:txPr>
    <a:bodyPr/>
    <a:lstStyle/>
    <a:p>
      <a:pPr>
        <a:defRPr sz="1200"/>
      </a:pPr>
      <a:endParaRPr lang="ja-JP"/>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7300623450886496"/>
          <c:y val="3.8121152595444914E-2"/>
          <c:w val="0.67033743755608821"/>
          <c:h val="0.7734503903954566"/>
        </c:manualLayout>
      </c:layout>
      <c:scatterChart>
        <c:scatterStyle val="lineMarker"/>
        <c:ser>
          <c:idx val="0"/>
          <c:order val="0"/>
          <c:spPr>
            <a:ln>
              <a:solidFill>
                <a:srgbClr val="FF0000"/>
              </a:solidFill>
            </a:ln>
          </c:spPr>
          <c:marker>
            <c:symbol val="none"/>
          </c:marker>
          <c:xVal>
            <c:numRef>
              <c:f>'4_5'!$B$104:$B$328</c:f>
              <c:numCache>
                <c:formatCode>General</c:formatCode>
                <c:ptCount val="225"/>
                <c:pt idx="0">
                  <c:v>1.1000000000000001E-3</c:v>
                </c:pt>
                <c:pt idx="1">
                  <c:v>1.2100000000000001E-3</c:v>
                </c:pt>
                <c:pt idx="2">
                  <c:v>1.3310000000000002E-3</c:v>
                </c:pt>
                <c:pt idx="3">
                  <c:v>1.4641000000000003E-3</c:v>
                </c:pt>
                <c:pt idx="4">
                  <c:v>1.6105100000000005E-3</c:v>
                </c:pt>
                <c:pt idx="5">
                  <c:v>1.7715610000000007E-3</c:v>
                </c:pt>
                <c:pt idx="6">
                  <c:v>1.9487171000000009E-3</c:v>
                </c:pt>
                <c:pt idx="7">
                  <c:v>2.1435888100000012E-3</c:v>
                </c:pt>
                <c:pt idx="8">
                  <c:v>2.3579476910000016E-3</c:v>
                </c:pt>
                <c:pt idx="9">
                  <c:v>2.5937424601000019E-3</c:v>
                </c:pt>
                <c:pt idx="10">
                  <c:v>2.8531167061100022E-3</c:v>
                </c:pt>
                <c:pt idx="11">
                  <c:v>3.1384283767210029E-3</c:v>
                </c:pt>
                <c:pt idx="12">
                  <c:v>3.4522712143931033E-3</c:v>
                </c:pt>
                <c:pt idx="13">
                  <c:v>3.7974983358324138E-3</c:v>
                </c:pt>
                <c:pt idx="14">
                  <c:v>4.1772481694156557E-3</c:v>
                </c:pt>
                <c:pt idx="15">
                  <c:v>4.5949729863572217E-3</c:v>
                </c:pt>
                <c:pt idx="16">
                  <c:v>5.0544702849929443E-3</c:v>
                </c:pt>
                <c:pt idx="17">
                  <c:v>5.5599173134922393E-3</c:v>
                </c:pt>
                <c:pt idx="18">
                  <c:v>6.115909044841464E-3</c:v>
                </c:pt>
                <c:pt idx="19">
                  <c:v>6.7274999493256108E-3</c:v>
                </c:pt>
                <c:pt idx="20">
                  <c:v>7.4002499442581728E-3</c:v>
                </c:pt>
                <c:pt idx="21">
                  <c:v>8.1402749386839911E-3</c:v>
                </c:pt>
                <c:pt idx="22">
                  <c:v>8.9543024325523905E-3</c:v>
                </c:pt>
                <c:pt idx="23">
                  <c:v>9.8497326758076303E-3</c:v>
                </c:pt>
                <c:pt idx="24">
                  <c:v>1.0834705943388393E-2</c:v>
                </c:pt>
                <c:pt idx="25">
                  <c:v>1.1918176537727233E-2</c:v>
                </c:pt>
                <c:pt idx="26">
                  <c:v>1.3109994191499958E-2</c:v>
                </c:pt>
                <c:pt idx="27">
                  <c:v>1.4420993610649954E-2</c:v>
                </c:pt>
                <c:pt idx="28">
                  <c:v>1.586309297171495E-2</c:v>
                </c:pt>
                <c:pt idx="29">
                  <c:v>1.7449402268886447E-2</c:v>
                </c:pt>
                <c:pt idx="30">
                  <c:v>1.9194342495775094E-2</c:v>
                </c:pt>
                <c:pt idx="31">
                  <c:v>2.1113776745352607E-2</c:v>
                </c:pt>
                <c:pt idx="32">
                  <c:v>2.3225154419887869E-2</c:v>
                </c:pt>
                <c:pt idx="33">
                  <c:v>2.5547669861876659E-2</c:v>
                </c:pt>
                <c:pt idx="34">
                  <c:v>2.8102436848064329E-2</c:v>
                </c:pt>
                <c:pt idx="35">
                  <c:v>3.0912680532870763E-2</c:v>
                </c:pt>
                <c:pt idx="36">
                  <c:v>3.4003948586157844E-2</c:v>
                </c:pt>
                <c:pt idx="37">
                  <c:v>3.7404343444773634E-2</c:v>
                </c:pt>
                <c:pt idx="38">
                  <c:v>4.1144777789250998E-2</c:v>
                </c:pt>
                <c:pt idx="39">
                  <c:v>4.5259255568176102E-2</c:v>
                </c:pt>
                <c:pt idx="40">
                  <c:v>4.9785181124993715E-2</c:v>
                </c:pt>
                <c:pt idx="41">
                  <c:v>5.4763699237493094E-2</c:v>
                </c:pt>
                <c:pt idx="42">
                  <c:v>6.0240069161242409E-2</c:v>
                </c:pt>
                <c:pt idx="43">
                  <c:v>6.626407607736666E-2</c:v>
                </c:pt>
                <c:pt idx="44">
                  <c:v>7.2890483685103327E-2</c:v>
                </c:pt>
                <c:pt idx="45">
                  <c:v>8.0179532053613667E-2</c:v>
                </c:pt>
                <c:pt idx="46">
                  <c:v>8.8197485258975042E-2</c:v>
                </c:pt>
                <c:pt idx="47">
                  <c:v>9.701723378487255E-2</c:v>
                </c:pt>
                <c:pt idx="48">
                  <c:v>0.10671895716335981</c:v>
                </c:pt>
                <c:pt idx="49">
                  <c:v>0.11739085287969581</c:v>
                </c:pt>
                <c:pt idx="50">
                  <c:v>0.12912993816766541</c:v>
                </c:pt>
                <c:pt idx="51">
                  <c:v>0.14204293198443196</c:v>
                </c:pt>
                <c:pt idx="52">
                  <c:v>0.15624722518287518</c:v>
                </c:pt>
                <c:pt idx="53">
                  <c:v>0.17187194770116271</c:v>
                </c:pt>
                <c:pt idx="54">
                  <c:v>0.189059142471279</c:v>
                </c:pt>
                <c:pt idx="55">
                  <c:v>0.20796505671840693</c:v>
                </c:pt>
                <c:pt idx="56">
                  <c:v>0.22876156239024764</c:v>
                </c:pt>
                <c:pt idx="57">
                  <c:v>0.25163771862927242</c:v>
                </c:pt>
                <c:pt idx="58">
                  <c:v>0.27680149049219971</c:v>
                </c:pt>
                <c:pt idx="59">
                  <c:v>0.30448163954141971</c:v>
                </c:pt>
                <c:pt idx="60">
                  <c:v>0.33492980349556173</c:v>
                </c:pt>
                <c:pt idx="61">
                  <c:v>0.36842278384511795</c:v>
                </c:pt>
                <c:pt idx="62">
                  <c:v>0.40526506222962977</c:v>
                </c:pt>
                <c:pt idx="63">
                  <c:v>0.44579156845259277</c:v>
                </c:pt>
                <c:pt idx="64">
                  <c:v>0.49037072529785208</c:v>
                </c:pt>
                <c:pt idx="65">
                  <c:v>0.53940779782763737</c:v>
                </c:pt>
                <c:pt idx="66">
                  <c:v>0.59334857761040116</c:v>
                </c:pt>
                <c:pt idx="67">
                  <c:v>0.65268343537144136</c:v>
                </c:pt>
                <c:pt idx="68">
                  <c:v>0.71795177890858553</c:v>
                </c:pt>
                <c:pt idx="69">
                  <c:v>0.78974695679944418</c:v>
                </c:pt>
                <c:pt idx="70">
                  <c:v>0.86872165247938871</c:v>
                </c:pt>
                <c:pt idx="71">
                  <c:v>0.95559381772732765</c:v>
                </c:pt>
                <c:pt idx="72">
                  <c:v>1.0511531995000605</c:v>
                </c:pt>
                <c:pt idx="73">
                  <c:v>1.1562685194500666</c:v>
                </c:pt>
                <c:pt idx="74">
                  <c:v>1.2718953713950734</c:v>
                </c:pt>
                <c:pt idx="75">
                  <c:v>1.3990849085345809</c:v>
                </c:pt>
                <c:pt idx="76">
                  <c:v>1.5389933993880391</c:v>
                </c:pt>
                <c:pt idx="77">
                  <c:v>1.6928927393268431</c:v>
                </c:pt>
                <c:pt idx="78">
                  <c:v>1.8621820132595277</c:v>
                </c:pt>
                <c:pt idx="79">
                  <c:v>2.0484002145854805</c:v>
                </c:pt>
                <c:pt idx="80">
                  <c:v>2.2532402360440287</c:v>
                </c:pt>
                <c:pt idx="81">
                  <c:v>2.4785642596484316</c:v>
                </c:pt>
                <c:pt idx="82">
                  <c:v>2.7264206856132751</c:v>
                </c:pt>
                <c:pt idx="83">
                  <c:v>2.9990627541746027</c:v>
                </c:pt>
                <c:pt idx="84">
                  <c:v>3.2989690295920631</c:v>
                </c:pt>
                <c:pt idx="85">
                  <c:v>3.6288659325512698</c:v>
                </c:pt>
                <c:pt idx="86">
                  <c:v>3.9917525258063971</c:v>
                </c:pt>
                <c:pt idx="87">
                  <c:v>4.3909277783870371</c:v>
                </c:pt>
                <c:pt idx="88">
                  <c:v>4.8300205562257412</c:v>
                </c:pt>
                <c:pt idx="89">
                  <c:v>5.3130226118483161</c:v>
                </c:pt>
                <c:pt idx="90">
                  <c:v>5.8443248730331483</c:v>
                </c:pt>
                <c:pt idx="91">
                  <c:v>6.4287573603364638</c:v>
                </c:pt>
                <c:pt idx="92">
                  <c:v>7.0716330963701104</c:v>
                </c:pt>
                <c:pt idx="93">
                  <c:v>7.778796406007122</c:v>
                </c:pt>
                <c:pt idx="94">
                  <c:v>8.5566760466078353</c:v>
                </c:pt>
                <c:pt idx="95">
                  <c:v>9.4123436512686194</c:v>
                </c:pt>
                <c:pt idx="96">
                  <c:v>10.353578016395483</c:v>
                </c:pt>
                <c:pt idx="97">
                  <c:v>10.353578016395483</c:v>
                </c:pt>
                <c:pt idx="98">
                  <c:v>10.353578016395483</c:v>
                </c:pt>
                <c:pt idx="99">
                  <c:v>10.353578016395483</c:v>
                </c:pt>
                <c:pt idx="100">
                  <c:v>10.353578016395483</c:v>
                </c:pt>
                <c:pt idx="101">
                  <c:v>10.353578016395483</c:v>
                </c:pt>
                <c:pt idx="102">
                  <c:v>10.353578016395483</c:v>
                </c:pt>
                <c:pt idx="103">
                  <c:v>10.353578016395483</c:v>
                </c:pt>
                <c:pt idx="104">
                  <c:v>10.353578016395483</c:v>
                </c:pt>
                <c:pt idx="105">
                  <c:v>10.353578016395483</c:v>
                </c:pt>
                <c:pt idx="106">
                  <c:v>10.353578016395483</c:v>
                </c:pt>
                <c:pt idx="107">
                  <c:v>10.353578016395483</c:v>
                </c:pt>
                <c:pt idx="108">
                  <c:v>10.353578016395483</c:v>
                </c:pt>
                <c:pt idx="109">
                  <c:v>10.353578016395483</c:v>
                </c:pt>
                <c:pt idx="110">
                  <c:v>10.353578016395483</c:v>
                </c:pt>
                <c:pt idx="111">
                  <c:v>10.353578016395483</c:v>
                </c:pt>
                <c:pt idx="112">
                  <c:v>10.353578016395483</c:v>
                </c:pt>
                <c:pt idx="113">
                  <c:v>10.353578016395483</c:v>
                </c:pt>
                <c:pt idx="114">
                  <c:v>10.353578016395483</c:v>
                </c:pt>
                <c:pt idx="115">
                  <c:v>10.353578016395483</c:v>
                </c:pt>
                <c:pt idx="116">
                  <c:v>10.353578016395483</c:v>
                </c:pt>
                <c:pt idx="117">
                  <c:v>10.353578016395483</c:v>
                </c:pt>
                <c:pt idx="118">
                  <c:v>10.353578016395483</c:v>
                </c:pt>
                <c:pt idx="119">
                  <c:v>10.353578016395483</c:v>
                </c:pt>
                <c:pt idx="120">
                  <c:v>10.353578016395483</c:v>
                </c:pt>
                <c:pt idx="121">
                  <c:v>10.353578016395483</c:v>
                </c:pt>
                <c:pt idx="122">
                  <c:v>10.353578016395483</c:v>
                </c:pt>
                <c:pt idx="123">
                  <c:v>10.353578016395483</c:v>
                </c:pt>
                <c:pt idx="124">
                  <c:v>10.353578016395483</c:v>
                </c:pt>
                <c:pt idx="125">
                  <c:v>10.353578016395483</c:v>
                </c:pt>
                <c:pt idx="126">
                  <c:v>10.353578016395483</c:v>
                </c:pt>
                <c:pt idx="127">
                  <c:v>10.353578016395483</c:v>
                </c:pt>
                <c:pt idx="128">
                  <c:v>10.353578016395483</c:v>
                </c:pt>
                <c:pt idx="129">
                  <c:v>10.353578016395483</c:v>
                </c:pt>
                <c:pt idx="130">
                  <c:v>10.353578016395483</c:v>
                </c:pt>
                <c:pt idx="131">
                  <c:v>10.353578016395483</c:v>
                </c:pt>
                <c:pt idx="132">
                  <c:v>10.353578016395483</c:v>
                </c:pt>
                <c:pt idx="133">
                  <c:v>10.353578016395483</c:v>
                </c:pt>
                <c:pt idx="134">
                  <c:v>10.353578016395483</c:v>
                </c:pt>
                <c:pt idx="135">
                  <c:v>10.353578016395483</c:v>
                </c:pt>
                <c:pt idx="136">
                  <c:v>10.353578016395483</c:v>
                </c:pt>
                <c:pt idx="137">
                  <c:v>10.353578016395483</c:v>
                </c:pt>
                <c:pt idx="138">
                  <c:v>10.353578016395483</c:v>
                </c:pt>
                <c:pt idx="139">
                  <c:v>10.353578016395483</c:v>
                </c:pt>
                <c:pt idx="140">
                  <c:v>10.353578016395483</c:v>
                </c:pt>
                <c:pt idx="141">
                  <c:v>10.353578016395483</c:v>
                </c:pt>
                <c:pt idx="142">
                  <c:v>10.353578016395483</c:v>
                </c:pt>
                <c:pt idx="143">
                  <c:v>10.353578016395483</c:v>
                </c:pt>
                <c:pt idx="144">
                  <c:v>10.353578016395483</c:v>
                </c:pt>
                <c:pt idx="145">
                  <c:v>10.353578016395483</c:v>
                </c:pt>
                <c:pt idx="146">
                  <c:v>10.353578016395483</c:v>
                </c:pt>
                <c:pt idx="147">
                  <c:v>10.353578016395483</c:v>
                </c:pt>
                <c:pt idx="148">
                  <c:v>10.353578016395483</c:v>
                </c:pt>
                <c:pt idx="149">
                  <c:v>10.353578016395483</c:v>
                </c:pt>
                <c:pt idx="150">
                  <c:v>10.353578016395483</c:v>
                </c:pt>
                <c:pt idx="151">
                  <c:v>10.353578016395483</c:v>
                </c:pt>
                <c:pt idx="152">
                  <c:v>10.353578016395483</c:v>
                </c:pt>
                <c:pt idx="153">
                  <c:v>10.353578016395483</c:v>
                </c:pt>
                <c:pt idx="154">
                  <c:v>10.353578016395483</c:v>
                </c:pt>
                <c:pt idx="155">
                  <c:v>10.353578016395483</c:v>
                </c:pt>
                <c:pt idx="156">
                  <c:v>10.353578016395483</c:v>
                </c:pt>
                <c:pt idx="157">
                  <c:v>10.353578016395483</c:v>
                </c:pt>
                <c:pt idx="158">
                  <c:v>10.353578016395483</c:v>
                </c:pt>
                <c:pt idx="159">
                  <c:v>10.353578016395483</c:v>
                </c:pt>
                <c:pt idx="160">
                  <c:v>10.353578016395483</c:v>
                </c:pt>
                <c:pt idx="161">
                  <c:v>10.353578016395483</c:v>
                </c:pt>
                <c:pt idx="162">
                  <c:v>10.353578016395483</c:v>
                </c:pt>
                <c:pt idx="163">
                  <c:v>10.353578016395483</c:v>
                </c:pt>
                <c:pt idx="164">
                  <c:v>10.353578016395483</c:v>
                </c:pt>
                <c:pt idx="165">
                  <c:v>10.353578016395483</c:v>
                </c:pt>
                <c:pt idx="166">
                  <c:v>10.353578016395483</c:v>
                </c:pt>
                <c:pt idx="167">
                  <c:v>10.353578016395483</c:v>
                </c:pt>
                <c:pt idx="168">
                  <c:v>10.353578016395483</c:v>
                </c:pt>
                <c:pt idx="169">
                  <c:v>10.353578016395483</c:v>
                </c:pt>
                <c:pt idx="170">
                  <c:v>10.353578016395483</c:v>
                </c:pt>
                <c:pt idx="171">
                  <c:v>10.353578016395483</c:v>
                </c:pt>
                <c:pt idx="172">
                  <c:v>10.353578016395483</c:v>
                </c:pt>
                <c:pt idx="173">
                  <c:v>10.353578016395483</c:v>
                </c:pt>
                <c:pt idx="174">
                  <c:v>10.353578016395483</c:v>
                </c:pt>
                <c:pt idx="175">
                  <c:v>10.353578016395483</c:v>
                </c:pt>
                <c:pt idx="176">
                  <c:v>10.353578016395483</c:v>
                </c:pt>
                <c:pt idx="177">
                  <c:v>10.353578016395483</c:v>
                </c:pt>
                <c:pt idx="178">
                  <c:v>10.353578016395483</c:v>
                </c:pt>
                <c:pt idx="179">
                  <c:v>10.353578016395483</c:v>
                </c:pt>
                <c:pt idx="180">
                  <c:v>10.353578016395483</c:v>
                </c:pt>
                <c:pt idx="181">
                  <c:v>10.353578016395483</c:v>
                </c:pt>
                <c:pt idx="182">
                  <c:v>10.353578016395483</c:v>
                </c:pt>
                <c:pt idx="183">
                  <c:v>10.353578016395483</c:v>
                </c:pt>
                <c:pt idx="184">
                  <c:v>10.353578016395483</c:v>
                </c:pt>
                <c:pt idx="185">
                  <c:v>10.353578016395483</c:v>
                </c:pt>
                <c:pt idx="186">
                  <c:v>10.353578016395483</c:v>
                </c:pt>
                <c:pt idx="187">
                  <c:v>10.353578016395483</c:v>
                </c:pt>
                <c:pt idx="188">
                  <c:v>10.353578016395483</c:v>
                </c:pt>
                <c:pt idx="189">
                  <c:v>10.353578016395483</c:v>
                </c:pt>
                <c:pt idx="190">
                  <c:v>10.353578016395483</c:v>
                </c:pt>
                <c:pt idx="191">
                  <c:v>10.353578016395483</c:v>
                </c:pt>
                <c:pt idx="192">
                  <c:v>10.353578016395483</c:v>
                </c:pt>
                <c:pt idx="193">
                  <c:v>10.353578016395483</c:v>
                </c:pt>
                <c:pt idx="194">
                  <c:v>10.353578016395483</c:v>
                </c:pt>
                <c:pt idx="195">
                  <c:v>10.353578016395483</c:v>
                </c:pt>
                <c:pt idx="196">
                  <c:v>10.353578016395483</c:v>
                </c:pt>
                <c:pt idx="197">
                  <c:v>10.353578016395483</c:v>
                </c:pt>
                <c:pt idx="198">
                  <c:v>10.353578016395483</c:v>
                </c:pt>
                <c:pt idx="199">
                  <c:v>10.353578016395483</c:v>
                </c:pt>
                <c:pt idx="200">
                  <c:v>10.353578016395483</c:v>
                </c:pt>
                <c:pt idx="201">
                  <c:v>10.353578016395483</c:v>
                </c:pt>
                <c:pt idx="202">
                  <c:v>10.353578016395483</c:v>
                </c:pt>
                <c:pt idx="203">
                  <c:v>10.353578016395483</c:v>
                </c:pt>
                <c:pt idx="204">
                  <c:v>10.353578016395483</c:v>
                </c:pt>
                <c:pt idx="205">
                  <c:v>10.353578016395483</c:v>
                </c:pt>
                <c:pt idx="206">
                  <c:v>10.353578016395483</c:v>
                </c:pt>
                <c:pt idx="207">
                  <c:v>10.353578016395483</c:v>
                </c:pt>
                <c:pt idx="208">
                  <c:v>10.353578016395483</c:v>
                </c:pt>
                <c:pt idx="209">
                  <c:v>10.353578016395483</c:v>
                </c:pt>
                <c:pt idx="210">
                  <c:v>10.353578016395483</c:v>
                </c:pt>
                <c:pt idx="211">
                  <c:v>10.353578016395483</c:v>
                </c:pt>
                <c:pt idx="212">
                  <c:v>10.353578016395483</c:v>
                </c:pt>
                <c:pt idx="213">
                  <c:v>10.353578016395483</c:v>
                </c:pt>
                <c:pt idx="214">
                  <c:v>10.353578016395483</c:v>
                </c:pt>
                <c:pt idx="215">
                  <c:v>10.353578016395483</c:v>
                </c:pt>
                <c:pt idx="216">
                  <c:v>10.353578016395483</c:v>
                </c:pt>
                <c:pt idx="217">
                  <c:v>10.353578016395483</c:v>
                </c:pt>
                <c:pt idx="218">
                  <c:v>10.353578016395483</c:v>
                </c:pt>
                <c:pt idx="219">
                  <c:v>10.353578016395483</c:v>
                </c:pt>
                <c:pt idx="220">
                  <c:v>10.353578016395483</c:v>
                </c:pt>
                <c:pt idx="221">
                  <c:v>10.353578016395483</c:v>
                </c:pt>
                <c:pt idx="222">
                  <c:v>10.353578016395483</c:v>
                </c:pt>
                <c:pt idx="223">
                  <c:v>10.353578016395483</c:v>
                </c:pt>
                <c:pt idx="224">
                  <c:v>10.353578016395483</c:v>
                </c:pt>
              </c:numCache>
            </c:numRef>
          </c:xVal>
          <c:yVal>
            <c:numRef>
              <c:f>'4_5'!$L$104:$L$328</c:f>
              <c:numCache>
                <c:formatCode>General</c:formatCode>
                <c:ptCount val="225"/>
                <c:pt idx="0">
                  <c:v>1.5213196110264103E-6</c:v>
                </c:pt>
                <c:pt idx="1">
                  <c:v>2.2273640312227308E-6</c:v>
                </c:pt>
                <c:pt idx="2">
                  <c:v>3.2610836522775799E-6</c:v>
                </c:pt>
                <c:pt idx="3">
                  <c:v>4.7745525169890009E-6</c:v>
                </c:pt>
                <c:pt idx="4">
                  <c:v>6.99042220993957E-6</c:v>
                </c:pt>
                <c:pt idx="5">
                  <c:v>1.0234676869316985E-5</c:v>
                </c:pt>
                <c:pt idx="6">
                  <c:v>1.4984589770177018E-5</c:v>
                </c:pt>
                <c:pt idx="7">
                  <c:v>2.1938936494217412E-5</c:v>
                </c:pt>
                <c:pt idx="8">
                  <c:v>3.2120793894121704E-5</c:v>
                </c:pt>
                <c:pt idx="9">
                  <c:v>4.7028047761045225E-5</c:v>
                </c:pt>
                <c:pt idx="10">
                  <c:v>6.8853750463116238E-5</c:v>
                </c:pt>
                <c:pt idx="11">
                  <c:v>1.0080874519305059E-4</c:v>
                </c:pt>
                <c:pt idx="12">
                  <c:v>1.4759401718252401E-4</c:v>
                </c:pt>
                <c:pt idx="13">
                  <c:v>2.1609225678496767E-4</c:v>
                </c:pt>
                <c:pt idx="14">
                  <c:v>3.1638036339112758E-4</c:v>
                </c:pt>
                <c:pt idx="15">
                  <c:v>4.6321182322834248E-4</c:v>
                </c:pt>
                <c:pt idx="16">
                  <c:v>6.7818699606210747E-4</c:v>
                </c:pt>
                <c:pt idx="17">
                  <c:v>9.9293049755823501E-4</c:v>
                </c:pt>
                <c:pt idx="18">
                  <c:v>1.4537429164697521E-3</c:v>
                </c:pt>
                <c:pt idx="19">
                  <c:v>2.1284107753018759E-3</c:v>
                </c:pt>
                <c:pt idx="20">
                  <c:v>3.1161756672888671E-3</c:v>
                </c:pt>
                <c:pt idx="21">
                  <c:v>4.5623272253937346E-3</c:v>
                </c:pt>
                <c:pt idx="22">
                  <c:v>6.679562589227501E-3</c:v>
                </c:pt>
                <c:pt idx="23">
                  <c:v>9.779245724888851E-3</c:v>
                </c:pt>
                <c:pt idx="24">
                  <c:v>1.4317146165989227E-2</c:v>
                </c:pt>
                <c:pt idx="25">
                  <c:v>2.0960345030852826E-2</c:v>
                </c:pt>
                <c:pt idx="26">
                  <c:v>3.0685063397239167E-2</c:v>
                </c:pt>
                <c:pt idx="27">
                  <c:v>4.4919617074796206E-2</c:v>
                </c:pt>
                <c:pt idx="28">
                  <c:v>6.5753126220747665E-2</c:v>
                </c:pt>
                <c:pt idx="29">
                  <c:v>9.6239823447095682E-2</c:v>
                </c:pt>
                <c:pt idx="30">
                  <c:v>0.14084188927883404</c:v>
                </c:pt>
                <c:pt idx="31">
                  <c:v>0.20607203672595203</c:v>
                </c:pt>
                <c:pt idx="32">
                  <c:v>0.30142201605322699</c:v>
                </c:pt>
                <c:pt idx="33">
                  <c:v>0.44069587532163945</c:v>
                </c:pt>
                <c:pt idx="34">
                  <c:v>0.64390655868673485</c:v>
                </c:pt>
                <c:pt idx="35">
                  <c:v>0.93993593235787332</c:v>
                </c:pt>
                <c:pt idx="36">
                  <c:v>1.3701852572415292</c:v>
                </c:pt>
                <c:pt idx="37">
                  <c:v>1.9934157942694282</c:v>
                </c:pt>
                <c:pt idx="38">
                  <c:v>2.8918131607175672</c:v>
                </c:pt>
                <c:pt idx="39">
                  <c:v>4.1778445226503065</c:v>
                </c:pt>
                <c:pt idx="40">
                  <c:v>6.0004564820349726</c:v>
                </c:pt>
                <c:pt idx="41">
                  <c:v>8.5472756354669865</c:v>
                </c:pt>
                <c:pt idx="42">
                  <c:v>12.036651929092253</c:v>
                </c:pt>
                <c:pt idx="43">
                  <c:v>16.690579136887752</c:v>
                </c:pt>
                <c:pt idx="44">
                  <c:v>22.679998867543564</c:v>
                </c:pt>
                <c:pt idx="45">
                  <c:v>30.043658290681019</c:v>
                </c:pt>
                <c:pt idx="46">
                  <c:v>38.604482415718785</c:v>
                </c:pt>
                <c:pt idx="47">
                  <c:v>47.933306069135575</c:v>
                </c:pt>
                <c:pt idx="48">
                  <c:v>57.408590149261443</c:v>
                </c:pt>
                <c:pt idx="49">
                  <c:v>66.369425115543606</c:v>
                </c:pt>
                <c:pt idx="50">
                  <c:v>74.289388495174038</c:v>
                </c:pt>
                <c:pt idx="51">
                  <c:v>80.881559894909714</c:v>
                </c:pt>
                <c:pt idx="52">
                  <c:v>86.099832117069496</c:v>
                </c:pt>
                <c:pt idx="53">
                  <c:v>90.068755551359445</c:v>
                </c:pt>
                <c:pt idx="54">
                  <c:v>92.99666383964265</c:v>
                </c:pt>
                <c:pt idx="55">
                  <c:v>95.108301532153277</c:v>
                </c:pt>
                <c:pt idx="56">
                  <c:v>96.606514980727908</c:v>
                </c:pt>
                <c:pt idx="57">
                  <c:v>97.657198257420958</c:v>
                </c:pt>
                <c:pt idx="58">
                  <c:v>98.388028301038005</c:v>
                </c:pt>
                <c:pt idx="59">
                  <c:v>98.893485322075236</c:v>
                </c:pt>
                <c:pt idx="60">
                  <c:v>99.241690584123504</c:v>
                </c:pt>
                <c:pt idx="61">
                  <c:v>99.480912128605198</c:v>
                </c:pt>
                <c:pt idx="62">
                  <c:v>99.644950963391324</c:v>
                </c:pt>
                <c:pt idx="63">
                  <c:v>99.757289186019321</c:v>
                </c:pt>
                <c:pt idx="64">
                  <c:v>99.834151982490098</c:v>
                </c:pt>
                <c:pt idx="65">
                  <c:v>99.886708973619278</c:v>
                </c:pt>
                <c:pt idx="66">
                  <c:v>99.922630109713168</c:v>
                </c:pt>
                <c:pt idx="67">
                  <c:v>99.947173122106619</c:v>
                </c:pt>
                <c:pt idx="68">
                  <c:v>99.963937919984218</c:v>
                </c:pt>
                <c:pt idx="69">
                  <c:v>99.975387320689464</c:v>
                </c:pt>
                <c:pt idx="70">
                  <c:v>99.983205273877644</c:v>
                </c:pt>
                <c:pt idx="71">
                  <c:v>99.988542727790545</c:v>
                </c:pt>
                <c:pt idx="72">
                  <c:v>99.99218611534296</c:v>
                </c:pt>
                <c:pt idx="73">
                  <c:v>99.994672690379787</c:v>
                </c:pt>
                <c:pt idx="74">
                  <c:v>99.996369422887881</c:v>
                </c:pt>
                <c:pt idx="75">
                  <c:v>99.997526939826272</c:v>
                </c:pt>
                <c:pt idx="76">
                  <c:v>99.998316391804138</c:v>
                </c:pt>
                <c:pt idx="77">
                  <c:v>99.998854644067947</c:v>
                </c:pt>
                <c:pt idx="78">
                  <c:v>99.999221486531212</c:v>
                </c:pt>
                <c:pt idx="79">
                  <c:v>99.999471389879645</c:v>
                </c:pt>
                <c:pt idx="80">
                  <c:v>99.999641535352708</c:v>
                </c:pt>
                <c:pt idx="81">
                  <c:v>99.999757298906857</c:v>
                </c:pt>
                <c:pt idx="82">
                  <c:v>99.999835996525334</c:v>
                </c:pt>
                <c:pt idx="83">
                  <c:v>99.999889441846989</c:v>
                </c:pt>
                <c:pt idx="84">
                  <c:v>99.999925692627912</c:v>
                </c:pt>
                <c:pt idx="85">
                  <c:v>99.99995024321926</c:v>
                </c:pt>
                <c:pt idx="86">
                  <c:v>99.999966838722003</c:v>
                </c:pt>
                <c:pt idx="87">
                  <c:v>99.999978030793855</c:v>
                </c:pt>
                <c:pt idx="88">
                  <c:v>99.99998555704579</c:v>
                </c:pt>
                <c:pt idx="89">
                  <c:v>99.999990599986745</c:v>
                </c:pt>
                <c:pt idx="90">
                  <c:v>99.999993963729793</c:v>
                </c:pt>
                <c:pt idx="91">
                  <c:v>99.999996194555692</c:v>
                </c:pt>
                <c:pt idx="92">
                  <c:v>99.999997663152257</c:v>
                </c:pt>
                <c:pt idx="93">
                  <c:v>99.999998620696545</c:v>
                </c:pt>
                <c:pt idx="94">
                  <c:v>99.999999237086584</c:v>
                </c:pt>
                <c:pt idx="95">
                  <c:v>99.999999626993784</c:v>
                </c:pt>
                <c:pt idx="96">
                  <c:v>99.99999986760686</c:v>
                </c:pt>
                <c:pt idx="97">
                  <c:v>99.99999986760686</c:v>
                </c:pt>
                <c:pt idx="98">
                  <c:v>99.99999986760686</c:v>
                </c:pt>
                <c:pt idx="99">
                  <c:v>99.99999986760686</c:v>
                </c:pt>
                <c:pt idx="100">
                  <c:v>99.99999986760686</c:v>
                </c:pt>
                <c:pt idx="101">
                  <c:v>99.99999986760686</c:v>
                </c:pt>
                <c:pt idx="102">
                  <c:v>99.99999986760686</c:v>
                </c:pt>
                <c:pt idx="103">
                  <c:v>99.99999986760686</c:v>
                </c:pt>
                <c:pt idx="104">
                  <c:v>99.99999986760686</c:v>
                </c:pt>
                <c:pt idx="105">
                  <c:v>99.99999986760686</c:v>
                </c:pt>
                <c:pt idx="106">
                  <c:v>99.99999986760686</c:v>
                </c:pt>
                <c:pt idx="107">
                  <c:v>99.99999986760686</c:v>
                </c:pt>
                <c:pt idx="108">
                  <c:v>99.99999986760686</c:v>
                </c:pt>
                <c:pt idx="109">
                  <c:v>99.99999986760686</c:v>
                </c:pt>
                <c:pt idx="110">
                  <c:v>99.99999986760686</c:v>
                </c:pt>
                <c:pt idx="111">
                  <c:v>99.99999986760686</c:v>
                </c:pt>
                <c:pt idx="112">
                  <c:v>99.99999986760686</c:v>
                </c:pt>
                <c:pt idx="113">
                  <c:v>99.99999986760686</c:v>
                </c:pt>
                <c:pt idx="114">
                  <c:v>99.99999986760686</c:v>
                </c:pt>
                <c:pt idx="115">
                  <c:v>99.99999986760686</c:v>
                </c:pt>
                <c:pt idx="116">
                  <c:v>99.99999986760686</c:v>
                </c:pt>
                <c:pt idx="117">
                  <c:v>99.99999986760686</c:v>
                </c:pt>
                <c:pt idx="118">
                  <c:v>99.99999986760686</c:v>
                </c:pt>
                <c:pt idx="119">
                  <c:v>99.99999986760686</c:v>
                </c:pt>
                <c:pt idx="120">
                  <c:v>99.99999986760686</c:v>
                </c:pt>
                <c:pt idx="121">
                  <c:v>99.99999986760686</c:v>
                </c:pt>
                <c:pt idx="122">
                  <c:v>99.99999986760686</c:v>
                </c:pt>
                <c:pt idx="123">
                  <c:v>99.99999986760686</c:v>
                </c:pt>
                <c:pt idx="124">
                  <c:v>99.99999986760686</c:v>
                </c:pt>
                <c:pt idx="125">
                  <c:v>99.99999986760686</c:v>
                </c:pt>
                <c:pt idx="126">
                  <c:v>99.99999986760686</c:v>
                </c:pt>
                <c:pt idx="127">
                  <c:v>99.99999986760686</c:v>
                </c:pt>
                <c:pt idx="128">
                  <c:v>99.99999986760686</c:v>
                </c:pt>
                <c:pt idx="129">
                  <c:v>99.99999986760686</c:v>
                </c:pt>
                <c:pt idx="130">
                  <c:v>99.99999986760686</c:v>
                </c:pt>
                <c:pt idx="131">
                  <c:v>99.99999986760686</c:v>
                </c:pt>
                <c:pt idx="132">
                  <c:v>99.99999986760686</c:v>
                </c:pt>
                <c:pt idx="133">
                  <c:v>99.99999986760686</c:v>
                </c:pt>
                <c:pt idx="134">
                  <c:v>99.99999986760686</c:v>
                </c:pt>
                <c:pt idx="135">
                  <c:v>99.99999986760686</c:v>
                </c:pt>
                <c:pt idx="136">
                  <c:v>99.99999986760686</c:v>
                </c:pt>
                <c:pt idx="137">
                  <c:v>99.99999986760686</c:v>
                </c:pt>
                <c:pt idx="138">
                  <c:v>99.99999986760686</c:v>
                </c:pt>
                <c:pt idx="139">
                  <c:v>99.99999986760686</c:v>
                </c:pt>
                <c:pt idx="140">
                  <c:v>99.99999986760686</c:v>
                </c:pt>
                <c:pt idx="141">
                  <c:v>99.99999986760686</c:v>
                </c:pt>
                <c:pt idx="142">
                  <c:v>99.99999986760686</c:v>
                </c:pt>
                <c:pt idx="143">
                  <c:v>99.99999986760686</c:v>
                </c:pt>
                <c:pt idx="144">
                  <c:v>99.99999986760686</c:v>
                </c:pt>
                <c:pt idx="145">
                  <c:v>99.99999986760686</c:v>
                </c:pt>
                <c:pt idx="146">
                  <c:v>99.99999986760686</c:v>
                </c:pt>
                <c:pt idx="147">
                  <c:v>99.99999986760686</c:v>
                </c:pt>
                <c:pt idx="148">
                  <c:v>99.99999986760686</c:v>
                </c:pt>
                <c:pt idx="149">
                  <c:v>99.99999986760686</c:v>
                </c:pt>
                <c:pt idx="150">
                  <c:v>99.99999986760686</c:v>
                </c:pt>
                <c:pt idx="151">
                  <c:v>99.99999986760686</c:v>
                </c:pt>
                <c:pt idx="152">
                  <c:v>99.99999986760686</c:v>
                </c:pt>
                <c:pt idx="153">
                  <c:v>99.99999986760686</c:v>
                </c:pt>
                <c:pt idx="154">
                  <c:v>99.99999986760686</c:v>
                </c:pt>
                <c:pt idx="155">
                  <c:v>99.99999986760686</c:v>
                </c:pt>
                <c:pt idx="156">
                  <c:v>99.99999986760686</c:v>
                </c:pt>
                <c:pt idx="157">
                  <c:v>99.99999986760686</c:v>
                </c:pt>
                <c:pt idx="158">
                  <c:v>99.99999986760686</c:v>
                </c:pt>
                <c:pt idx="159">
                  <c:v>99.99999986760686</c:v>
                </c:pt>
                <c:pt idx="160">
                  <c:v>99.99999986760686</c:v>
                </c:pt>
                <c:pt idx="161">
                  <c:v>99.99999986760686</c:v>
                </c:pt>
                <c:pt idx="162">
                  <c:v>99.99999986760686</c:v>
                </c:pt>
                <c:pt idx="163">
                  <c:v>99.99999986760686</c:v>
                </c:pt>
                <c:pt idx="164">
                  <c:v>99.99999986760686</c:v>
                </c:pt>
                <c:pt idx="165">
                  <c:v>99.99999986760686</c:v>
                </c:pt>
                <c:pt idx="166">
                  <c:v>99.99999986760686</c:v>
                </c:pt>
                <c:pt idx="167">
                  <c:v>99.99999986760686</c:v>
                </c:pt>
                <c:pt idx="168">
                  <c:v>99.99999986760686</c:v>
                </c:pt>
                <c:pt idx="169">
                  <c:v>99.99999986760686</c:v>
                </c:pt>
                <c:pt idx="170">
                  <c:v>99.99999986760686</c:v>
                </c:pt>
                <c:pt idx="171">
                  <c:v>99.99999986760686</c:v>
                </c:pt>
                <c:pt idx="172">
                  <c:v>99.99999986760686</c:v>
                </c:pt>
                <c:pt idx="173">
                  <c:v>99.99999986760686</c:v>
                </c:pt>
                <c:pt idx="174">
                  <c:v>99.99999986760686</c:v>
                </c:pt>
                <c:pt idx="175">
                  <c:v>99.99999986760686</c:v>
                </c:pt>
                <c:pt idx="176">
                  <c:v>99.99999986760686</c:v>
                </c:pt>
                <c:pt idx="177">
                  <c:v>99.99999986760686</c:v>
                </c:pt>
                <c:pt idx="178">
                  <c:v>99.99999986760686</c:v>
                </c:pt>
                <c:pt idx="179">
                  <c:v>99.99999986760686</c:v>
                </c:pt>
                <c:pt idx="180">
                  <c:v>99.99999986760686</c:v>
                </c:pt>
                <c:pt idx="181">
                  <c:v>99.99999986760686</c:v>
                </c:pt>
                <c:pt idx="182">
                  <c:v>99.99999986760686</c:v>
                </c:pt>
                <c:pt idx="183">
                  <c:v>99.99999986760686</c:v>
                </c:pt>
                <c:pt idx="184">
                  <c:v>99.99999986760686</c:v>
                </c:pt>
                <c:pt idx="185">
                  <c:v>99.99999986760686</c:v>
                </c:pt>
                <c:pt idx="186">
                  <c:v>99.99999986760686</c:v>
                </c:pt>
                <c:pt idx="187">
                  <c:v>99.99999986760686</c:v>
                </c:pt>
                <c:pt idx="188">
                  <c:v>99.99999986760686</c:v>
                </c:pt>
                <c:pt idx="189">
                  <c:v>99.99999986760686</c:v>
                </c:pt>
                <c:pt idx="190">
                  <c:v>99.99999986760686</c:v>
                </c:pt>
                <c:pt idx="191">
                  <c:v>99.99999986760686</c:v>
                </c:pt>
                <c:pt idx="192">
                  <c:v>99.99999986760686</c:v>
                </c:pt>
                <c:pt idx="193">
                  <c:v>99.99999986760686</c:v>
                </c:pt>
                <c:pt idx="194">
                  <c:v>99.99999986760686</c:v>
                </c:pt>
                <c:pt idx="195">
                  <c:v>99.99999986760686</c:v>
                </c:pt>
                <c:pt idx="196">
                  <c:v>99.99999986760686</c:v>
                </c:pt>
                <c:pt idx="197">
                  <c:v>99.99999986760686</c:v>
                </c:pt>
                <c:pt idx="198">
                  <c:v>99.99999986760686</c:v>
                </c:pt>
                <c:pt idx="199">
                  <c:v>99.99999986760686</c:v>
                </c:pt>
                <c:pt idx="200">
                  <c:v>99.99999986760686</c:v>
                </c:pt>
                <c:pt idx="201">
                  <c:v>99.99999986760686</c:v>
                </c:pt>
                <c:pt idx="202">
                  <c:v>99.99999986760686</c:v>
                </c:pt>
                <c:pt idx="203">
                  <c:v>99.99999986760686</c:v>
                </c:pt>
                <c:pt idx="204">
                  <c:v>99.99999986760686</c:v>
                </c:pt>
                <c:pt idx="205">
                  <c:v>99.99999986760686</c:v>
                </c:pt>
                <c:pt idx="206">
                  <c:v>99.99999986760686</c:v>
                </c:pt>
                <c:pt idx="207">
                  <c:v>99.99999986760686</c:v>
                </c:pt>
                <c:pt idx="208">
                  <c:v>99.99999986760686</c:v>
                </c:pt>
                <c:pt idx="209">
                  <c:v>99.99999986760686</c:v>
                </c:pt>
                <c:pt idx="210">
                  <c:v>99.99999986760686</c:v>
                </c:pt>
                <c:pt idx="211">
                  <c:v>99.99999986760686</c:v>
                </c:pt>
                <c:pt idx="212">
                  <c:v>99.99999986760686</c:v>
                </c:pt>
                <c:pt idx="213">
                  <c:v>99.99999986760686</c:v>
                </c:pt>
                <c:pt idx="214">
                  <c:v>99.99999986760686</c:v>
                </c:pt>
                <c:pt idx="215">
                  <c:v>99.99999986760686</c:v>
                </c:pt>
                <c:pt idx="216">
                  <c:v>99.99999986760686</c:v>
                </c:pt>
                <c:pt idx="217">
                  <c:v>99.99999986760686</c:v>
                </c:pt>
                <c:pt idx="218">
                  <c:v>99.99999986760686</c:v>
                </c:pt>
                <c:pt idx="219">
                  <c:v>99.99999986760686</c:v>
                </c:pt>
                <c:pt idx="220">
                  <c:v>99.99999986760686</c:v>
                </c:pt>
                <c:pt idx="221">
                  <c:v>99.99999986760686</c:v>
                </c:pt>
                <c:pt idx="222">
                  <c:v>99.99999986760686</c:v>
                </c:pt>
                <c:pt idx="223">
                  <c:v>99.99999986760686</c:v>
                </c:pt>
                <c:pt idx="224">
                  <c:v>99.99999986760686</c:v>
                </c:pt>
              </c:numCache>
            </c:numRef>
          </c:yVal>
        </c:ser>
        <c:axId val="105564416"/>
        <c:axId val="106250624"/>
      </c:scatterChart>
      <c:valAx>
        <c:axId val="105564416"/>
        <c:scaling>
          <c:logBase val="10"/>
          <c:orientation val="minMax"/>
          <c:max val="100"/>
          <c:min val="1.0000000000000018E-3"/>
        </c:scaling>
        <c:axPos val="b"/>
        <c:title>
          <c:tx>
            <c:rich>
              <a:bodyPr/>
              <a:lstStyle/>
              <a:p>
                <a:pPr>
                  <a:defRPr/>
                </a:pPr>
                <a:r>
                  <a:rPr lang="ja-JP" altLang="en-US"/>
                  <a:t>パイプの内径</a:t>
                </a:r>
                <a:r>
                  <a:rPr lang="ja-JP"/>
                  <a:t>　</a:t>
                </a:r>
                <a:r>
                  <a:rPr lang="en-US"/>
                  <a:t>(cm)</a:t>
                </a:r>
                <a:endParaRPr lang="ja-JP"/>
              </a:p>
            </c:rich>
          </c:tx>
          <c:layout>
            <c:manualLayout>
              <c:xMode val="edge"/>
              <c:yMode val="edge"/>
              <c:x val="0.38055110958541638"/>
              <c:y val="0.91203703703703709"/>
            </c:manualLayout>
          </c:layout>
        </c:title>
        <c:numFmt formatCode="General" sourceLinked="1"/>
        <c:majorTickMark val="in"/>
        <c:tickLblPos val="nextTo"/>
        <c:spPr>
          <a:ln>
            <a:solidFill>
              <a:schemeClr val="tx1"/>
            </a:solidFill>
          </a:ln>
        </c:spPr>
        <c:crossAx val="106250624"/>
        <c:crosses val="autoZero"/>
        <c:crossBetween val="midCat"/>
        <c:majorUnit val="10"/>
      </c:valAx>
      <c:valAx>
        <c:axId val="106250624"/>
        <c:scaling>
          <c:orientation val="minMax"/>
          <c:max val="100"/>
        </c:scaling>
        <c:axPos val="l"/>
        <c:title>
          <c:tx>
            <c:rich>
              <a:bodyPr rot="-5400000" vert="horz"/>
              <a:lstStyle/>
              <a:p>
                <a:pPr>
                  <a:defRPr/>
                </a:pPr>
                <a:r>
                  <a:rPr lang="ja-JP" altLang="en-US"/>
                  <a:t>全体に対するパイプ流の割合</a:t>
                </a:r>
                <a:r>
                  <a:rPr lang="en-US"/>
                  <a:t>(%)</a:t>
                </a:r>
                <a:endParaRPr lang="ja-JP"/>
              </a:p>
            </c:rich>
          </c:tx>
          <c:layout>
            <c:manualLayout>
              <c:xMode val="edge"/>
              <c:yMode val="edge"/>
              <c:x val="8.4525998676131545E-2"/>
              <c:y val="8.7012917039996196E-2"/>
            </c:manualLayout>
          </c:layout>
        </c:title>
        <c:numFmt formatCode="General" sourceLinked="0"/>
        <c:majorTickMark val="in"/>
        <c:tickLblPos val="low"/>
        <c:txPr>
          <a:bodyPr/>
          <a:lstStyle/>
          <a:p>
            <a:pPr>
              <a:defRPr>
                <a:solidFill>
                  <a:schemeClr val="tx1"/>
                </a:solidFill>
              </a:defRPr>
            </a:pPr>
            <a:endParaRPr lang="ja-JP"/>
          </a:p>
        </c:txPr>
        <c:crossAx val="105564416"/>
        <c:crossesAt val="1.0000000000000024E-3"/>
        <c:crossBetween val="midCat"/>
        <c:majorUnit val="20"/>
      </c:valAx>
      <c:spPr>
        <a:ln>
          <a:solidFill>
            <a:schemeClr val="tx1"/>
          </a:solidFill>
        </a:ln>
      </c:spPr>
    </c:plotArea>
    <c:plotVisOnly val="1"/>
    <c:dispBlanksAs val="gap"/>
  </c:chart>
  <c:spPr>
    <a:ln>
      <a:noFill/>
    </a:ln>
  </c:spPr>
  <c:txPr>
    <a:bodyPr/>
    <a:lstStyle/>
    <a:p>
      <a:pPr>
        <a:defRPr sz="1200"/>
      </a:pPr>
      <a:endParaRPr lang="ja-JP"/>
    </a:p>
  </c:txPr>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9361986482455188"/>
          <c:y val="3.8121152595444914E-2"/>
          <c:w val="0.6516049303844762"/>
          <c:h val="0.7734503903954566"/>
        </c:manualLayout>
      </c:layout>
      <c:scatterChart>
        <c:scatterStyle val="lineMarker"/>
        <c:ser>
          <c:idx val="0"/>
          <c:order val="0"/>
          <c:spPr>
            <a:ln>
              <a:solidFill>
                <a:srgbClr val="FF0000"/>
              </a:solidFill>
            </a:ln>
          </c:spPr>
          <c:marker>
            <c:symbol val="none"/>
          </c:marker>
          <c:xVal>
            <c:numRef>
              <c:f>'4_5'!$B$104:$B$328</c:f>
              <c:numCache>
                <c:formatCode>General</c:formatCode>
                <c:ptCount val="225"/>
                <c:pt idx="0">
                  <c:v>1.1000000000000001E-3</c:v>
                </c:pt>
                <c:pt idx="1">
                  <c:v>1.2100000000000001E-3</c:v>
                </c:pt>
                <c:pt idx="2">
                  <c:v>1.3310000000000002E-3</c:v>
                </c:pt>
                <c:pt idx="3">
                  <c:v>1.4641000000000003E-3</c:v>
                </c:pt>
                <c:pt idx="4">
                  <c:v>1.6105100000000005E-3</c:v>
                </c:pt>
                <c:pt idx="5">
                  <c:v>1.7715610000000007E-3</c:v>
                </c:pt>
                <c:pt idx="6">
                  <c:v>1.9487171000000009E-3</c:v>
                </c:pt>
                <c:pt idx="7">
                  <c:v>2.1435888100000012E-3</c:v>
                </c:pt>
                <c:pt idx="8">
                  <c:v>2.3579476910000016E-3</c:v>
                </c:pt>
                <c:pt idx="9">
                  <c:v>2.5937424601000019E-3</c:v>
                </c:pt>
                <c:pt idx="10">
                  <c:v>2.8531167061100022E-3</c:v>
                </c:pt>
                <c:pt idx="11">
                  <c:v>3.1384283767210029E-3</c:v>
                </c:pt>
                <c:pt idx="12">
                  <c:v>3.4522712143931033E-3</c:v>
                </c:pt>
                <c:pt idx="13">
                  <c:v>3.7974983358324138E-3</c:v>
                </c:pt>
                <c:pt idx="14">
                  <c:v>4.1772481694156557E-3</c:v>
                </c:pt>
                <c:pt idx="15">
                  <c:v>4.5949729863572217E-3</c:v>
                </c:pt>
                <c:pt idx="16">
                  <c:v>5.0544702849929443E-3</c:v>
                </c:pt>
                <c:pt idx="17">
                  <c:v>5.5599173134922393E-3</c:v>
                </c:pt>
                <c:pt idx="18">
                  <c:v>6.115909044841464E-3</c:v>
                </c:pt>
                <c:pt idx="19">
                  <c:v>6.7274999493256108E-3</c:v>
                </c:pt>
                <c:pt idx="20">
                  <c:v>7.4002499442581728E-3</c:v>
                </c:pt>
                <c:pt idx="21">
                  <c:v>8.1402749386839911E-3</c:v>
                </c:pt>
                <c:pt idx="22">
                  <c:v>8.9543024325523905E-3</c:v>
                </c:pt>
                <c:pt idx="23">
                  <c:v>9.8497326758076303E-3</c:v>
                </c:pt>
                <c:pt idx="24">
                  <c:v>1.0834705943388393E-2</c:v>
                </c:pt>
                <c:pt idx="25">
                  <c:v>1.1918176537727233E-2</c:v>
                </c:pt>
                <c:pt idx="26">
                  <c:v>1.3109994191499958E-2</c:v>
                </c:pt>
                <c:pt idx="27">
                  <c:v>1.4420993610649954E-2</c:v>
                </c:pt>
                <c:pt idx="28">
                  <c:v>1.586309297171495E-2</c:v>
                </c:pt>
                <c:pt idx="29">
                  <c:v>1.7449402268886447E-2</c:v>
                </c:pt>
                <c:pt idx="30">
                  <c:v>1.9194342495775094E-2</c:v>
                </c:pt>
                <c:pt idx="31">
                  <c:v>2.1113776745352607E-2</c:v>
                </c:pt>
                <c:pt idx="32">
                  <c:v>2.3225154419887869E-2</c:v>
                </c:pt>
                <c:pt idx="33">
                  <c:v>2.5547669861876659E-2</c:v>
                </c:pt>
                <c:pt idx="34">
                  <c:v>2.8102436848064329E-2</c:v>
                </c:pt>
                <c:pt idx="35">
                  <c:v>3.0912680532870763E-2</c:v>
                </c:pt>
                <c:pt idx="36">
                  <c:v>3.4003948586157844E-2</c:v>
                </c:pt>
                <c:pt idx="37">
                  <c:v>3.7404343444773634E-2</c:v>
                </c:pt>
                <c:pt idx="38">
                  <c:v>4.1144777789250998E-2</c:v>
                </c:pt>
                <c:pt idx="39">
                  <c:v>4.5259255568176102E-2</c:v>
                </c:pt>
                <c:pt idx="40">
                  <c:v>4.9785181124993715E-2</c:v>
                </c:pt>
                <c:pt idx="41">
                  <c:v>5.4763699237493094E-2</c:v>
                </c:pt>
                <c:pt idx="42">
                  <c:v>6.0240069161242409E-2</c:v>
                </c:pt>
                <c:pt idx="43">
                  <c:v>6.626407607736666E-2</c:v>
                </c:pt>
                <c:pt idx="44">
                  <c:v>7.2890483685103327E-2</c:v>
                </c:pt>
                <c:pt idx="45">
                  <c:v>8.0179532053613667E-2</c:v>
                </c:pt>
                <c:pt idx="46">
                  <c:v>8.8197485258975042E-2</c:v>
                </c:pt>
                <c:pt idx="47">
                  <c:v>9.701723378487255E-2</c:v>
                </c:pt>
                <c:pt idx="48">
                  <c:v>0.10671895716335981</c:v>
                </c:pt>
                <c:pt idx="49">
                  <c:v>0.11739085287969581</c:v>
                </c:pt>
                <c:pt idx="50">
                  <c:v>0.12912993816766541</c:v>
                </c:pt>
                <c:pt idx="51">
                  <c:v>0.14204293198443196</c:v>
                </c:pt>
                <c:pt idx="52">
                  <c:v>0.15624722518287518</c:v>
                </c:pt>
                <c:pt idx="53">
                  <c:v>0.17187194770116271</c:v>
                </c:pt>
                <c:pt idx="54">
                  <c:v>0.189059142471279</c:v>
                </c:pt>
                <c:pt idx="55">
                  <c:v>0.20796505671840693</c:v>
                </c:pt>
                <c:pt idx="56">
                  <c:v>0.22876156239024764</c:v>
                </c:pt>
                <c:pt idx="57">
                  <c:v>0.25163771862927242</c:v>
                </c:pt>
                <c:pt idx="58">
                  <c:v>0.27680149049219971</c:v>
                </c:pt>
                <c:pt idx="59">
                  <c:v>0.30448163954141971</c:v>
                </c:pt>
                <c:pt idx="60">
                  <c:v>0.33492980349556173</c:v>
                </c:pt>
                <c:pt idx="61">
                  <c:v>0.36842278384511795</c:v>
                </c:pt>
                <c:pt idx="62">
                  <c:v>0.40526506222962977</c:v>
                </c:pt>
                <c:pt idx="63">
                  <c:v>0.44579156845259277</c:v>
                </c:pt>
                <c:pt idx="64">
                  <c:v>0.49037072529785208</c:v>
                </c:pt>
                <c:pt idx="65">
                  <c:v>0.53940779782763737</c:v>
                </c:pt>
                <c:pt idx="66">
                  <c:v>0.59334857761040116</c:v>
                </c:pt>
                <c:pt idx="67">
                  <c:v>0.65268343537144136</c:v>
                </c:pt>
                <c:pt idx="68">
                  <c:v>0.71795177890858553</c:v>
                </c:pt>
                <c:pt idx="69">
                  <c:v>0.78974695679944418</c:v>
                </c:pt>
                <c:pt idx="70">
                  <c:v>0.86872165247938871</c:v>
                </c:pt>
                <c:pt idx="71">
                  <c:v>0.95559381772732765</c:v>
                </c:pt>
                <c:pt idx="72">
                  <c:v>1.0511531995000605</c:v>
                </c:pt>
                <c:pt idx="73">
                  <c:v>1.1562685194500666</c:v>
                </c:pt>
                <c:pt idx="74">
                  <c:v>1.2718953713950734</c:v>
                </c:pt>
                <c:pt idx="75">
                  <c:v>1.3990849085345809</c:v>
                </c:pt>
                <c:pt idx="76">
                  <c:v>1.5389933993880391</c:v>
                </c:pt>
                <c:pt idx="77">
                  <c:v>1.6928927393268431</c:v>
                </c:pt>
                <c:pt idx="78">
                  <c:v>1.8621820132595277</c:v>
                </c:pt>
                <c:pt idx="79">
                  <c:v>2.0484002145854805</c:v>
                </c:pt>
                <c:pt idx="80">
                  <c:v>2.2532402360440287</c:v>
                </c:pt>
                <c:pt idx="81">
                  <c:v>2.4785642596484316</c:v>
                </c:pt>
                <c:pt idx="82">
                  <c:v>2.7264206856132751</c:v>
                </c:pt>
                <c:pt idx="83">
                  <c:v>2.9990627541746027</c:v>
                </c:pt>
                <c:pt idx="84">
                  <c:v>3.2989690295920631</c:v>
                </c:pt>
                <c:pt idx="85">
                  <c:v>3.6288659325512698</c:v>
                </c:pt>
                <c:pt idx="86">
                  <c:v>3.9917525258063971</c:v>
                </c:pt>
                <c:pt idx="87">
                  <c:v>4.3909277783870371</c:v>
                </c:pt>
                <c:pt idx="88">
                  <c:v>4.8300205562257412</c:v>
                </c:pt>
                <c:pt idx="89">
                  <c:v>5.3130226118483161</c:v>
                </c:pt>
                <c:pt idx="90">
                  <c:v>5.8443248730331483</c:v>
                </c:pt>
                <c:pt idx="91">
                  <c:v>6.4287573603364638</c:v>
                </c:pt>
                <c:pt idx="92">
                  <c:v>7.0716330963701104</c:v>
                </c:pt>
                <c:pt idx="93">
                  <c:v>7.778796406007122</c:v>
                </c:pt>
                <c:pt idx="94">
                  <c:v>8.5566760466078353</c:v>
                </c:pt>
                <c:pt idx="95">
                  <c:v>9.4123436512686194</c:v>
                </c:pt>
                <c:pt idx="96">
                  <c:v>10.353578016395483</c:v>
                </c:pt>
                <c:pt idx="97">
                  <c:v>10.353578016395483</c:v>
                </c:pt>
                <c:pt idx="98">
                  <c:v>10.353578016395483</c:v>
                </c:pt>
                <c:pt idx="99">
                  <c:v>10.353578016395483</c:v>
                </c:pt>
                <c:pt idx="100">
                  <c:v>10.353578016395483</c:v>
                </c:pt>
                <c:pt idx="101">
                  <c:v>10.353578016395483</c:v>
                </c:pt>
                <c:pt idx="102">
                  <c:v>10.353578016395483</c:v>
                </c:pt>
                <c:pt idx="103">
                  <c:v>10.353578016395483</c:v>
                </c:pt>
                <c:pt idx="104">
                  <c:v>10.353578016395483</c:v>
                </c:pt>
                <c:pt idx="105">
                  <c:v>10.353578016395483</c:v>
                </c:pt>
                <c:pt idx="106">
                  <c:v>10.353578016395483</c:v>
                </c:pt>
                <c:pt idx="107">
                  <c:v>10.353578016395483</c:v>
                </c:pt>
                <c:pt idx="108">
                  <c:v>10.353578016395483</c:v>
                </c:pt>
                <c:pt idx="109">
                  <c:v>10.353578016395483</c:v>
                </c:pt>
                <c:pt idx="110">
                  <c:v>10.353578016395483</c:v>
                </c:pt>
                <c:pt idx="111">
                  <c:v>10.353578016395483</c:v>
                </c:pt>
                <c:pt idx="112">
                  <c:v>10.353578016395483</c:v>
                </c:pt>
                <c:pt idx="113">
                  <c:v>10.353578016395483</c:v>
                </c:pt>
                <c:pt idx="114">
                  <c:v>10.353578016395483</c:v>
                </c:pt>
                <c:pt idx="115">
                  <c:v>10.353578016395483</c:v>
                </c:pt>
                <c:pt idx="116">
                  <c:v>10.353578016395483</c:v>
                </c:pt>
                <c:pt idx="117">
                  <c:v>10.353578016395483</c:v>
                </c:pt>
                <c:pt idx="118">
                  <c:v>10.353578016395483</c:v>
                </c:pt>
                <c:pt idx="119">
                  <c:v>10.353578016395483</c:v>
                </c:pt>
                <c:pt idx="120">
                  <c:v>10.353578016395483</c:v>
                </c:pt>
                <c:pt idx="121">
                  <c:v>10.353578016395483</c:v>
                </c:pt>
                <c:pt idx="122">
                  <c:v>10.353578016395483</c:v>
                </c:pt>
                <c:pt idx="123">
                  <c:v>10.353578016395483</c:v>
                </c:pt>
                <c:pt idx="124">
                  <c:v>10.353578016395483</c:v>
                </c:pt>
                <c:pt idx="125">
                  <c:v>10.353578016395483</c:v>
                </c:pt>
                <c:pt idx="126">
                  <c:v>10.353578016395483</c:v>
                </c:pt>
                <c:pt idx="127">
                  <c:v>10.353578016395483</c:v>
                </c:pt>
                <c:pt idx="128">
                  <c:v>10.353578016395483</c:v>
                </c:pt>
                <c:pt idx="129">
                  <c:v>10.353578016395483</c:v>
                </c:pt>
                <c:pt idx="130">
                  <c:v>10.353578016395483</c:v>
                </c:pt>
                <c:pt idx="131">
                  <c:v>10.353578016395483</c:v>
                </c:pt>
                <c:pt idx="132">
                  <c:v>10.353578016395483</c:v>
                </c:pt>
                <c:pt idx="133">
                  <c:v>10.353578016395483</c:v>
                </c:pt>
                <c:pt idx="134">
                  <c:v>10.353578016395483</c:v>
                </c:pt>
                <c:pt idx="135">
                  <c:v>10.353578016395483</c:v>
                </c:pt>
                <c:pt idx="136">
                  <c:v>10.353578016395483</c:v>
                </c:pt>
                <c:pt idx="137">
                  <c:v>10.353578016395483</c:v>
                </c:pt>
                <c:pt idx="138">
                  <c:v>10.353578016395483</c:v>
                </c:pt>
                <c:pt idx="139">
                  <c:v>10.353578016395483</c:v>
                </c:pt>
                <c:pt idx="140">
                  <c:v>10.353578016395483</c:v>
                </c:pt>
                <c:pt idx="141">
                  <c:v>10.353578016395483</c:v>
                </c:pt>
                <c:pt idx="142">
                  <c:v>10.353578016395483</c:v>
                </c:pt>
                <c:pt idx="143">
                  <c:v>10.353578016395483</c:v>
                </c:pt>
                <c:pt idx="144">
                  <c:v>10.353578016395483</c:v>
                </c:pt>
                <c:pt idx="145">
                  <c:v>10.353578016395483</c:v>
                </c:pt>
                <c:pt idx="146">
                  <c:v>10.353578016395483</c:v>
                </c:pt>
                <c:pt idx="147">
                  <c:v>10.353578016395483</c:v>
                </c:pt>
                <c:pt idx="148">
                  <c:v>10.353578016395483</c:v>
                </c:pt>
                <c:pt idx="149">
                  <c:v>10.353578016395483</c:v>
                </c:pt>
                <c:pt idx="150">
                  <c:v>10.353578016395483</c:v>
                </c:pt>
                <c:pt idx="151">
                  <c:v>10.353578016395483</c:v>
                </c:pt>
                <c:pt idx="152">
                  <c:v>10.353578016395483</c:v>
                </c:pt>
                <c:pt idx="153">
                  <c:v>10.353578016395483</c:v>
                </c:pt>
                <c:pt idx="154">
                  <c:v>10.353578016395483</c:v>
                </c:pt>
                <c:pt idx="155">
                  <c:v>10.353578016395483</c:v>
                </c:pt>
                <c:pt idx="156">
                  <c:v>10.353578016395483</c:v>
                </c:pt>
                <c:pt idx="157">
                  <c:v>10.353578016395483</c:v>
                </c:pt>
                <c:pt idx="158">
                  <c:v>10.353578016395483</c:v>
                </c:pt>
                <c:pt idx="159">
                  <c:v>10.353578016395483</c:v>
                </c:pt>
                <c:pt idx="160">
                  <c:v>10.353578016395483</c:v>
                </c:pt>
                <c:pt idx="161">
                  <c:v>10.353578016395483</c:v>
                </c:pt>
                <c:pt idx="162">
                  <c:v>10.353578016395483</c:v>
                </c:pt>
                <c:pt idx="163">
                  <c:v>10.353578016395483</c:v>
                </c:pt>
                <c:pt idx="164">
                  <c:v>10.353578016395483</c:v>
                </c:pt>
                <c:pt idx="165">
                  <c:v>10.353578016395483</c:v>
                </c:pt>
                <c:pt idx="166">
                  <c:v>10.353578016395483</c:v>
                </c:pt>
                <c:pt idx="167">
                  <c:v>10.353578016395483</c:v>
                </c:pt>
                <c:pt idx="168">
                  <c:v>10.353578016395483</c:v>
                </c:pt>
                <c:pt idx="169">
                  <c:v>10.353578016395483</c:v>
                </c:pt>
                <c:pt idx="170">
                  <c:v>10.353578016395483</c:v>
                </c:pt>
                <c:pt idx="171">
                  <c:v>10.353578016395483</c:v>
                </c:pt>
                <c:pt idx="172">
                  <c:v>10.353578016395483</c:v>
                </c:pt>
                <c:pt idx="173">
                  <c:v>10.353578016395483</c:v>
                </c:pt>
                <c:pt idx="174">
                  <c:v>10.353578016395483</c:v>
                </c:pt>
                <c:pt idx="175">
                  <c:v>10.353578016395483</c:v>
                </c:pt>
                <c:pt idx="176">
                  <c:v>10.353578016395483</c:v>
                </c:pt>
                <c:pt idx="177">
                  <c:v>10.353578016395483</c:v>
                </c:pt>
                <c:pt idx="178">
                  <c:v>10.353578016395483</c:v>
                </c:pt>
                <c:pt idx="179">
                  <c:v>10.353578016395483</c:v>
                </c:pt>
                <c:pt idx="180">
                  <c:v>10.353578016395483</c:v>
                </c:pt>
                <c:pt idx="181">
                  <c:v>10.353578016395483</c:v>
                </c:pt>
                <c:pt idx="182">
                  <c:v>10.353578016395483</c:v>
                </c:pt>
                <c:pt idx="183">
                  <c:v>10.353578016395483</c:v>
                </c:pt>
                <c:pt idx="184">
                  <c:v>10.353578016395483</c:v>
                </c:pt>
                <c:pt idx="185">
                  <c:v>10.353578016395483</c:v>
                </c:pt>
                <c:pt idx="186">
                  <c:v>10.353578016395483</c:v>
                </c:pt>
                <c:pt idx="187">
                  <c:v>10.353578016395483</c:v>
                </c:pt>
                <c:pt idx="188">
                  <c:v>10.353578016395483</c:v>
                </c:pt>
                <c:pt idx="189">
                  <c:v>10.353578016395483</c:v>
                </c:pt>
                <c:pt idx="190">
                  <c:v>10.353578016395483</c:v>
                </c:pt>
                <c:pt idx="191">
                  <c:v>10.353578016395483</c:v>
                </c:pt>
                <c:pt idx="192">
                  <c:v>10.353578016395483</c:v>
                </c:pt>
                <c:pt idx="193">
                  <c:v>10.353578016395483</c:v>
                </c:pt>
                <c:pt idx="194">
                  <c:v>10.353578016395483</c:v>
                </c:pt>
                <c:pt idx="195">
                  <c:v>10.353578016395483</c:v>
                </c:pt>
                <c:pt idx="196">
                  <c:v>10.353578016395483</c:v>
                </c:pt>
                <c:pt idx="197">
                  <c:v>10.353578016395483</c:v>
                </c:pt>
                <c:pt idx="198">
                  <c:v>10.353578016395483</c:v>
                </c:pt>
                <c:pt idx="199">
                  <c:v>10.353578016395483</c:v>
                </c:pt>
                <c:pt idx="200">
                  <c:v>10.353578016395483</c:v>
                </c:pt>
                <c:pt idx="201">
                  <c:v>10.353578016395483</c:v>
                </c:pt>
                <c:pt idx="202">
                  <c:v>10.353578016395483</c:v>
                </c:pt>
                <c:pt idx="203">
                  <c:v>10.353578016395483</c:v>
                </c:pt>
                <c:pt idx="204">
                  <c:v>10.353578016395483</c:v>
                </c:pt>
                <c:pt idx="205">
                  <c:v>10.353578016395483</c:v>
                </c:pt>
                <c:pt idx="206">
                  <c:v>10.353578016395483</c:v>
                </c:pt>
                <c:pt idx="207">
                  <c:v>10.353578016395483</c:v>
                </c:pt>
                <c:pt idx="208">
                  <c:v>10.353578016395483</c:v>
                </c:pt>
                <c:pt idx="209">
                  <c:v>10.353578016395483</c:v>
                </c:pt>
                <c:pt idx="210">
                  <c:v>10.353578016395483</c:v>
                </c:pt>
                <c:pt idx="211">
                  <c:v>10.353578016395483</c:v>
                </c:pt>
                <c:pt idx="212">
                  <c:v>10.353578016395483</c:v>
                </c:pt>
                <c:pt idx="213">
                  <c:v>10.353578016395483</c:v>
                </c:pt>
                <c:pt idx="214">
                  <c:v>10.353578016395483</c:v>
                </c:pt>
                <c:pt idx="215">
                  <c:v>10.353578016395483</c:v>
                </c:pt>
                <c:pt idx="216">
                  <c:v>10.353578016395483</c:v>
                </c:pt>
                <c:pt idx="217">
                  <c:v>10.353578016395483</c:v>
                </c:pt>
                <c:pt idx="218">
                  <c:v>10.353578016395483</c:v>
                </c:pt>
                <c:pt idx="219">
                  <c:v>10.353578016395483</c:v>
                </c:pt>
                <c:pt idx="220">
                  <c:v>10.353578016395483</c:v>
                </c:pt>
                <c:pt idx="221">
                  <c:v>10.353578016395483</c:v>
                </c:pt>
                <c:pt idx="222">
                  <c:v>10.353578016395483</c:v>
                </c:pt>
                <c:pt idx="223">
                  <c:v>10.353578016395483</c:v>
                </c:pt>
                <c:pt idx="224">
                  <c:v>10.353578016395483</c:v>
                </c:pt>
              </c:numCache>
            </c:numRef>
          </c:xVal>
          <c:yVal>
            <c:numRef>
              <c:f>'4_5'!$J$104:$J$328</c:f>
              <c:numCache>
                <c:formatCode>General</c:formatCode>
                <c:ptCount val="225"/>
                <c:pt idx="0">
                  <c:v>10.000000057098783</c:v>
                </c:pt>
                <c:pt idx="1">
                  <c:v>10.00000010774626</c:v>
                </c:pt>
                <c:pt idx="2">
                  <c:v>10.000000186970297</c:v>
                </c:pt>
                <c:pt idx="3">
                  <c:v>10.000000309098196</c:v>
                </c:pt>
                <c:pt idx="4">
                  <c:v>10.0000004953302</c:v>
                </c:pt>
                <c:pt idx="5">
                  <c:v>10.000000776976178</c:v>
                </c:pt>
                <c:pt idx="6">
                  <c:v>10.000001200204334</c:v>
                </c:pt>
                <c:pt idx="7">
                  <c:v>10.000001833005717</c:v>
                </c:pt>
                <c:pt idx="8">
                  <c:v>10.000002775405397</c:v>
                </c:pt>
                <c:pt idx="9">
                  <c:v>10.00000417443013</c:v>
                </c:pt>
                <c:pt idx="10">
                  <c:v>10.000006246043649</c:v>
                </c:pt>
                <c:pt idx="11">
                  <c:v>10.000009307287707</c:v>
                </c:pt>
                <c:pt idx="12">
                  <c:v>10.000013823370725</c:v>
                </c:pt>
                <c:pt idx="13">
                  <c:v>10.000020476647737</c:v>
                </c:pt>
                <c:pt idx="14">
                  <c:v>10.000030267659252</c:v>
                </c:pt>
                <c:pt idx="15">
                  <c:v>10.000044663117061</c:v>
                </c:pt>
                <c:pt idx="16">
                  <c:v>10.000065812636642</c:v>
                </c:pt>
                <c:pt idx="17">
                  <c:v>10.000096866135317</c:v>
                </c:pt>
                <c:pt idx="18">
                  <c:v>10.000142438632075</c:v>
                </c:pt>
                <c:pt idx="19">
                  <c:v>10.00020929087848</c:v>
                </c:pt>
                <c:pt idx="20">
                  <c:v>10.000307326012667</c:v>
                </c:pt>
                <c:pt idx="21">
                  <c:v>10.000451048932502</c:v>
                </c:pt>
                <c:pt idx="22">
                  <c:v>10.000661703172078</c:v>
                </c:pt>
                <c:pt idx="23">
                  <c:v>10.000970399754543</c:v>
                </c:pt>
                <c:pt idx="24">
                  <c:v>10.001422698450391</c:v>
                </c:pt>
                <c:pt idx="25">
                  <c:v>10.002085315566633</c:v>
                </c:pt>
                <c:pt idx="26">
                  <c:v>10.00305594526726</c:v>
                </c:pt>
                <c:pt idx="27">
                  <c:v>10.004477639508641</c:v>
                </c:pt>
                <c:pt idx="28">
                  <c:v>10.006559862356445</c:v>
                </c:pt>
                <c:pt idx="29">
                  <c:v>10.0096093164018</c:v>
                </c:pt>
                <c:pt idx="30">
                  <c:v>10.014075076674009</c:v>
                </c:pt>
                <c:pt idx="31">
                  <c:v>10.02061467235988</c:v>
                </c:pt>
                <c:pt idx="32">
                  <c:v>10.030190838449869</c:v>
                </c:pt>
                <c:pt idx="33">
                  <c:v>10.044213171518251</c:v>
                </c:pt>
                <c:pt idx="34">
                  <c:v>10.06474553000187</c:v>
                </c:pt>
                <c:pt idx="35">
                  <c:v>10.094809691429955</c:v>
                </c:pt>
                <c:pt idx="36">
                  <c:v>10.138829939977201</c:v>
                </c:pt>
                <c:pt idx="37">
                  <c:v>10.20328399073369</c:v>
                </c:pt>
                <c:pt idx="38">
                  <c:v>10.297656012325008</c:v>
                </c:pt>
                <c:pt idx="39">
                  <c:v>10.435831952650142</c:v>
                </c:pt>
                <c:pt idx="40">
                  <c:v>10.638142441731237</c:v>
                </c:pt>
                <c:pt idx="41">
                  <c:v>10.934353813564664</c:v>
                </c:pt>
                <c:pt idx="42">
                  <c:v>11.368047270637437</c:v>
                </c:pt>
                <c:pt idx="43">
                  <c:v>12.003030430099141</c:v>
                </c:pt>
                <c:pt idx="44">
                  <c:v>12.93272448231038</c:v>
                </c:pt>
                <c:pt idx="45">
                  <c:v>14.293907946369329</c:v>
                </c:pt>
                <c:pt idx="46">
                  <c:v>16.28683892277996</c:v>
                </c:pt>
                <c:pt idx="47">
                  <c:v>19.204716108027895</c:v>
                </c:pt>
                <c:pt idx="48">
                  <c:v>23.476812695598419</c:v>
                </c:pt>
                <c:pt idx="49">
                  <c:v>29.731628756245708</c:v>
                </c:pt>
                <c:pt idx="50">
                  <c:v>38.889352681249648</c:v>
                </c:pt>
                <c:pt idx="51">
                  <c:v>52.297234033886262</c:v>
                </c:pt>
                <c:pt idx="52">
                  <c:v>71.927783004667958</c:v>
                </c:pt>
                <c:pt idx="53">
                  <c:v>100.66895431047698</c:v>
                </c:pt>
                <c:pt idx="54">
                  <c:v>142.74900553411402</c:v>
                </c:pt>
                <c:pt idx="55">
                  <c:v>204.35853233155132</c:v>
                </c:pt>
                <c:pt idx="56">
                  <c:v>294.56119031478084</c:v>
                </c:pt>
                <c:pt idx="57">
                  <c:v>426.62708312494004</c:v>
                </c:pt>
                <c:pt idx="58">
                  <c:v>619.98497610915899</c:v>
                </c:pt>
                <c:pt idx="59">
                  <c:v>903.08053260560018</c:v>
                </c:pt>
                <c:pt idx="60">
                  <c:v>1317.5610579797178</c:v>
                </c:pt>
                <c:pt idx="61">
                  <c:v>1924.4023837202535</c:v>
                </c:pt>
                <c:pt idx="62">
                  <c:v>2812.879238870722</c:v>
                </c:pt>
                <c:pt idx="63">
                  <c:v>4113.698771358363</c:v>
                </c:pt>
                <c:pt idx="64">
                  <c:v>6018.2293371963442</c:v>
                </c:pt>
                <c:pt idx="65">
                  <c:v>8806.6533715103524</c:v>
                </c:pt>
                <c:pt idx="66">
                  <c:v>12889.186007922945</c:v>
                </c:pt>
                <c:pt idx="67">
                  <c:v>18866.423260300489</c:v>
                </c:pt>
                <c:pt idx="68">
                  <c:v>27617.697796987559</c:v>
                </c:pt>
                <c:pt idx="69">
                  <c:v>40430.440631483245</c:v>
                </c:pt>
                <c:pt idx="70">
                  <c:v>59189.579575720272</c:v>
                </c:pt>
                <c:pt idx="71">
                  <c:v>86654.837517882508</c:v>
                </c:pt>
                <c:pt idx="72">
                  <c:v>126866.724833827</c:v>
                </c:pt>
                <c:pt idx="73">
                  <c:v>185740.95288011935</c:v>
                </c:pt>
                <c:pt idx="74">
                  <c:v>271938.71479338786</c:v>
                </c:pt>
                <c:pt idx="75">
                  <c:v>398140.8636137413</c:v>
                </c:pt>
                <c:pt idx="76">
                  <c:v>582913.43648141681</c:v>
                </c:pt>
                <c:pt idx="77">
                  <c:v>853438.96862053301</c:v>
                </c:pt>
                <c:pt idx="78">
                  <c:v>1249515.4101517131</c:v>
                </c:pt>
                <c:pt idx="79">
                  <c:v>1829410.9402083349</c:v>
                </c:pt>
                <c:pt idx="80">
                  <c:v>2678436.0002973299</c:v>
                </c:pt>
                <c:pt idx="81">
                  <c:v>3921493.6083586719</c:v>
                </c:pt>
                <c:pt idx="82">
                  <c:v>5741454.2735991888</c:v>
                </c:pt>
                <c:pt idx="83">
                  <c:v>8406058.7093240861</c:v>
                </c:pt>
                <c:pt idx="84">
                  <c:v>12307306.094821896</c:v>
                </c:pt>
                <c:pt idx="85">
                  <c:v>18019122.429624341</c:v>
                </c:pt>
                <c:pt idx="86">
                  <c:v>26381792.771019693</c:v>
                </c:pt>
                <c:pt idx="87">
                  <c:v>38625578.47304602</c:v>
                </c:pt>
                <c:pt idx="88">
                  <c:v>56551705.18616195</c:v>
                </c:pt>
                <c:pt idx="89">
                  <c:v>82797347.387637824</c:v>
                </c:pt>
                <c:pt idx="90">
                  <c:v>121223592.23259002</c:v>
                </c:pt>
                <c:pt idx="91">
                  <c:v>177483457.42838794</c:v>
                </c:pt>
                <c:pt idx="92">
                  <c:v>259853526.20470276</c:v>
                </c:pt>
                <c:pt idx="93">
                  <c:v>380451544.0733133</c:v>
                </c:pt>
                <c:pt idx="94">
                  <c:v>557019102.2443279</c:v>
                </c:pt>
                <c:pt idx="95">
                  <c:v>815531664.41610396</c:v>
                </c:pt>
                <c:pt idx="96">
                  <c:v>1194019906.9986503</c:v>
                </c:pt>
                <c:pt idx="97">
                  <c:v>1194019906.9986503</c:v>
                </c:pt>
                <c:pt idx="98">
                  <c:v>1194019906.9986503</c:v>
                </c:pt>
                <c:pt idx="99">
                  <c:v>1194019906.9986503</c:v>
                </c:pt>
                <c:pt idx="100">
                  <c:v>1194019906.9986503</c:v>
                </c:pt>
                <c:pt idx="101">
                  <c:v>1194019906.9986503</c:v>
                </c:pt>
                <c:pt idx="102">
                  <c:v>1194019906.9986503</c:v>
                </c:pt>
                <c:pt idx="103">
                  <c:v>1194019906.9986503</c:v>
                </c:pt>
                <c:pt idx="104">
                  <c:v>1194019906.9986503</c:v>
                </c:pt>
                <c:pt idx="105">
                  <c:v>1194019906.9986503</c:v>
                </c:pt>
                <c:pt idx="106">
                  <c:v>1194019906.9986503</c:v>
                </c:pt>
                <c:pt idx="107">
                  <c:v>1194019906.9986503</c:v>
                </c:pt>
                <c:pt idx="108">
                  <c:v>1194019906.9986503</c:v>
                </c:pt>
                <c:pt idx="109">
                  <c:v>1194019906.9986503</c:v>
                </c:pt>
                <c:pt idx="110">
                  <c:v>1194019906.9986503</c:v>
                </c:pt>
                <c:pt idx="111">
                  <c:v>1194019906.9986503</c:v>
                </c:pt>
                <c:pt idx="112">
                  <c:v>1194019906.9986503</c:v>
                </c:pt>
                <c:pt idx="113">
                  <c:v>1194019906.9986503</c:v>
                </c:pt>
                <c:pt idx="114">
                  <c:v>1194019906.9986503</c:v>
                </c:pt>
                <c:pt idx="115">
                  <c:v>1194019906.9986503</c:v>
                </c:pt>
                <c:pt idx="116">
                  <c:v>1194019906.9986503</c:v>
                </c:pt>
                <c:pt idx="117">
                  <c:v>1194019906.9986503</c:v>
                </c:pt>
                <c:pt idx="118">
                  <c:v>1194019906.9986503</c:v>
                </c:pt>
                <c:pt idx="119">
                  <c:v>1194019906.9986503</c:v>
                </c:pt>
                <c:pt idx="120">
                  <c:v>1194019906.9986503</c:v>
                </c:pt>
                <c:pt idx="121">
                  <c:v>1194019906.9986503</c:v>
                </c:pt>
                <c:pt idx="122">
                  <c:v>1194019906.9986503</c:v>
                </c:pt>
                <c:pt idx="123">
                  <c:v>1194019906.9986503</c:v>
                </c:pt>
                <c:pt idx="124">
                  <c:v>1194019906.9986503</c:v>
                </c:pt>
                <c:pt idx="125">
                  <c:v>1194019906.9986503</c:v>
                </c:pt>
                <c:pt idx="126">
                  <c:v>1194019906.9986503</c:v>
                </c:pt>
                <c:pt idx="127">
                  <c:v>1194019906.9986503</c:v>
                </c:pt>
                <c:pt idx="128">
                  <c:v>1194019906.9986503</c:v>
                </c:pt>
                <c:pt idx="129">
                  <c:v>1194019906.9986503</c:v>
                </c:pt>
                <c:pt idx="130">
                  <c:v>1194019906.9986503</c:v>
                </c:pt>
                <c:pt idx="131">
                  <c:v>1194019906.9986503</c:v>
                </c:pt>
                <c:pt idx="132">
                  <c:v>1194019906.9986503</c:v>
                </c:pt>
                <c:pt idx="133">
                  <c:v>1194019906.9986503</c:v>
                </c:pt>
                <c:pt idx="134">
                  <c:v>1194019906.9986503</c:v>
                </c:pt>
                <c:pt idx="135">
                  <c:v>1194019906.9986503</c:v>
                </c:pt>
                <c:pt idx="136">
                  <c:v>1194019906.9986503</c:v>
                </c:pt>
                <c:pt idx="137">
                  <c:v>1194019906.9986503</c:v>
                </c:pt>
                <c:pt idx="138">
                  <c:v>1194019906.9986503</c:v>
                </c:pt>
                <c:pt idx="139">
                  <c:v>1194019906.9986503</c:v>
                </c:pt>
                <c:pt idx="140">
                  <c:v>1194019906.9986503</c:v>
                </c:pt>
                <c:pt idx="141">
                  <c:v>1194019906.9986503</c:v>
                </c:pt>
                <c:pt idx="142">
                  <c:v>1194019906.9986503</c:v>
                </c:pt>
                <c:pt idx="143">
                  <c:v>1194019906.9986503</c:v>
                </c:pt>
                <c:pt idx="144">
                  <c:v>1194019906.9986503</c:v>
                </c:pt>
                <c:pt idx="145">
                  <c:v>1194019906.9986503</c:v>
                </c:pt>
                <c:pt idx="146">
                  <c:v>1194019906.9986503</c:v>
                </c:pt>
                <c:pt idx="147">
                  <c:v>1194019906.9986503</c:v>
                </c:pt>
                <c:pt idx="148">
                  <c:v>1194019906.9986503</c:v>
                </c:pt>
                <c:pt idx="149">
                  <c:v>1194019906.9986503</c:v>
                </c:pt>
                <c:pt idx="150">
                  <c:v>1194019906.9986503</c:v>
                </c:pt>
                <c:pt idx="151">
                  <c:v>1194019906.9986503</c:v>
                </c:pt>
                <c:pt idx="152">
                  <c:v>1194019906.9986503</c:v>
                </c:pt>
                <c:pt idx="153">
                  <c:v>1194019906.9986503</c:v>
                </c:pt>
                <c:pt idx="154">
                  <c:v>1194019906.9986503</c:v>
                </c:pt>
                <c:pt idx="155">
                  <c:v>1194019906.9986503</c:v>
                </c:pt>
                <c:pt idx="156">
                  <c:v>1194019906.9986503</c:v>
                </c:pt>
                <c:pt idx="157">
                  <c:v>1194019906.9986503</c:v>
                </c:pt>
                <c:pt idx="158">
                  <c:v>1194019906.9986503</c:v>
                </c:pt>
                <c:pt idx="159">
                  <c:v>1194019906.9986503</c:v>
                </c:pt>
                <c:pt idx="160">
                  <c:v>1194019906.9986503</c:v>
                </c:pt>
                <c:pt idx="161">
                  <c:v>1194019906.9986503</c:v>
                </c:pt>
                <c:pt idx="162">
                  <c:v>1194019906.9986503</c:v>
                </c:pt>
                <c:pt idx="163">
                  <c:v>1194019906.9986503</c:v>
                </c:pt>
                <c:pt idx="164">
                  <c:v>1194019906.9986503</c:v>
                </c:pt>
                <c:pt idx="165">
                  <c:v>1194019906.9986503</c:v>
                </c:pt>
                <c:pt idx="166">
                  <c:v>1194019906.9986503</c:v>
                </c:pt>
                <c:pt idx="167">
                  <c:v>1194019906.9986503</c:v>
                </c:pt>
                <c:pt idx="168">
                  <c:v>1194019906.9986503</c:v>
                </c:pt>
                <c:pt idx="169">
                  <c:v>1194019906.9986503</c:v>
                </c:pt>
                <c:pt idx="170">
                  <c:v>1194019906.9986503</c:v>
                </c:pt>
                <c:pt idx="171">
                  <c:v>1194019906.9986503</c:v>
                </c:pt>
                <c:pt idx="172">
                  <c:v>1194019906.9986503</c:v>
                </c:pt>
                <c:pt idx="173">
                  <c:v>1194019906.9986503</c:v>
                </c:pt>
                <c:pt idx="174">
                  <c:v>1194019906.9986503</c:v>
                </c:pt>
                <c:pt idx="175">
                  <c:v>1194019906.9986503</c:v>
                </c:pt>
                <c:pt idx="176">
                  <c:v>1194019906.9986503</c:v>
                </c:pt>
                <c:pt idx="177">
                  <c:v>1194019906.9986503</c:v>
                </c:pt>
                <c:pt idx="178">
                  <c:v>1194019906.9986503</c:v>
                </c:pt>
                <c:pt idx="179">
                  <c:v>1194019906.9986503</c:v>
                </c:pt>
                <c:pt idx="180">
                  <c:v>1194019906.9986503</c:v>
                </c:pt>
                <c:pt idx="181">
                  <c:v>1194019906.9986503</c:v>
                </c:pt>
                <c:pt idx="182">
                  <c:v>1194019906.9986503</c:v>
                </c:pt>
                <c:pt idx="183">
                  <c:v>1194019906.9986503</c:v>
                </c:pt>
                <c:pt idx="184">
                  <c:v>1194019906.9986503</c:v>
                </c:pt>
                <c:pt idx="185">
                  <c:v>1194019906.9986503</c:v>
                </c:pt>
                <c:pt idx="186">
                  <c:v>1194019906.9986503</c:v>
                </c:pt>
                <c:pt idx="187">
                  <c:v>1194019906.9986503</c:v>
                </c:pt>
                <c:pt idx="188">
                  <c:v>1194019906.9986503</c:v>
                </c:pt>
                <c:pt idx="189">
                  <c:v>1194019906.9986503</c:v>
                </c:pt>
                <c:pt idx="190">
                  <c:v>1194019906.9986503</c:v>
                </c:pt>
                <c:pt idx="191">
                  <c:v>1194019906.9986503</c:v>
                </c:pt>
                <c:pt idx="192">
                  <c:v>1194019906.9986503</c:v>
                </c:pt>
                <c:pt idx="193">
                  <c:v>1194019906.9986503</c:v>
                </c:pt>
                <c:pt idx="194">
                  <c:v>1194019906.9986503</c:v>
                </c:pt>
                <c:pt idx="195">
                  <c:v>1194019906.9986503</c:v>
                </c:pt>
                <c:pt idx="196">
                  <c:v>1194019906.9986503</c:v>
                </c:pt>
                <c:pt idx="197">
                  <c:v>1194019906.9986503</c:v>
                </c:pt>
                <c:pt idx="198">
                  <c:v>1194019906.9986503</c:v>
                </c:pt>
                <c:pt idx="199">
                  <c:v>1194019906.9986503</c:v>
                </c:pt>
                <c:pt idx="200">
                  <c:v>1194019906.9986503</c:v>
                </c:pt>
                <c:pt idx="201">
                  <c:v>1194019906.9986503</c:v>
                </c:pt>
                <c:pt idx="202">
                  <c:v>1194019906.9986503</c:v>
                </c:pt>
                <c:pt idx="203">
                  <c:v>1194019906.9986503</c:v>
                </c:pt>
                <c:pt idx="204">
                  <c:v>1194019906.9986503</c:v>
                </c:pt>
                <c:pt idx="205">
                  <c:v>1194019906.9986503</c:v>
                </c:pt>
                <c:pt idx="206">
                  <c:v>1194019906.9986503</c:v>
                </c:pt>
                <c:pt idx="207">
                  <c:v>1194019906.9986503</c:v>
                </c:pt>
                <c:pt idx="208">
                  <c:v>1194019906.9986503</c:v>
                </c:pt>
                <c:pt idx="209">
                  <c:v>1194019906.9986503</c:v>
                </c:pt>
                <c:pt idx="210">
                  <c:v>1194019906.9986503</c:v>
                </c:pt>
                <c:pt idx="211">
                  <c:v>1194019906.9986503</c:v>
                </c:pt>
                <c:pt idx="212">
                  <c:v>1194019906.9986503</c:v>
                </c:pt>
                <c:pt idx="213">
                  <c:v>1194019906.9986503</c:v>
                </c:pt>
                <c:pt idx="214">
                  <c:v>1194019906.9986503</c:v>
                </c:pt>
                <c:pt idx="215">
                  <c:v>1194019906.9986503</c:v>
                </c:pt>
                <c:pt idx="216">
                  <c:v>1194019906.9986503</c:v>
                </c:pt>
                <c:pt idx="217">
                  <c:v>1194019906.9986503</c:v>
                </c:pt>
                <c:pt idx="218">
                  <c:v>1194019906.9986503</c:v>
                </c:pt>
                <c:pt idx="219">
                  <c:v>1194019906.9986503</c:v>
                </c:pt>
                <c:pt idx="220">
                  <c:v>1194019906.9986503</c:v>
                </c:pt>
                <c:pt idx="221">
                  <c:v>1194019906.9986503</c:v>
                </c:pt>
                <c:pt idx="222">
                  <c:v>1194019906.9986503</c:v>
                </c:pt>
                <c:pt idx="223">
                  <c:v>1194019906.9986503</c:v>
                </c:pt>
                <c:pt idx="224">
                  <c:v>1194019906.9986503</c:v>
                </c:pt>
              </c:numCache>
            </c:numRef>
          </c:yVal>
        </c:ser>
        <c:axId val="106270080"/>
        <c:axId val="106276352"/>
      </c:scatterChart>
      <c:valAx>
        <c:axId val="106270080"/>
        <c:scaling>
          <c:orientation val="minMax"/>
        </c:scaling>
        <c:axPos val="b"/>
        <c:title>
          <c:tx>
            <c:rich>
              <a:bodyPr/>
              <a:lstStyle/>
              <a:p>
                <a:pPr>
                  <a:defRPr/>
                </a:pPr>
                <a:r>
                  <a:rPr lang="ja-JP" altLang="en-US"/>
                  <a:t>パイプの内径</a:t>
                </a:r>
                <a:r>
                  <a:rPr lang="ja-JP"/>
                  <a:t>　</a:t>
                </a:r>
                <a:r>
                  <a:rPr lang="en-US"/>
                  <a:t>(cm)</a:t>
                </a:r>
                <a:endParaRPr lang="ja-JP"/>
              </a:p>
            </c:rich>
          </c:tx>
          <c:layout>
            <c:manualLayout>
              <c:xMode val="edge"/>
              <c:yMode val="edge"/>
              <c:x val="0.38055110958541638"/>
              <c:y val="0.91203703703703709"/>
            </c:manualLayout>
          </c:layout>
        </c:title>
        <c:numFmt formatCode="General" sourceLinked="1"/>
        <c:majorTickMark val="in"/>
        <c:tickLblPos val="nextTo"/>
        <c:spPr>
          <a:ln>
            <a:solidFill>
              <a:sysClr val="windowText" lastClr="000000"/>
            </a:solidFill>
          </a:ln>
        </c:spPr>
        <c:crossAx val="106276352"/>
        <c:crosses val="autoZero"/>
        <c:crossBetween val="midCat"/>
      </c:valAx>
      <c:valAx>
        <c:axId val="106276352"/>
        <c:scaling>
          <c:logBase val="10"/>
          <c:orientation val="minMax"/>
          <c:max val="10000000000"/>
          <c:min val="1"/>
        </c:scaling>
        <c:axPos val="l"/>
        <c:title>
          <c:tx>
            <c:rich>
              <a:bodyPr rot="-5400000" vert="horz"/>
              <a:lstStyle/>
              <a:p>
                <a:pPr>
                  <a:defRPr/>
                </a:pPr>
                <a:r>
                  <a:rPr lang="ja-JP" altLang="en-US"/>
                  <a:t>カラム下端の排水フラックス</a:t>
                </a:r>
                <a:r>
                  <a:rPr lang="en-US"/>
                  <a:t>(cm</a:t>
                </a:r>
                <a:r>
                  <a:rPr lang="ja-JP" altLang="en-US"/>
                  <a:t>・ｈ</a:t>
                </a:r>
                <a:r>
                  <a:rPr lang="en-US"/>
                  <a:t>)</a:t>
                </a:r>
                <a:endParaRPr lang="ja-JP"/>
              </a:p>
            </c:rich>
          </c:tx>
          <c:layout>
            <c:manualLayout>
              <c:xMode val="edge"/>
              <c:yMode val="edge"/>
              <c:x val="3.9941715657628316E-2"/>
              <c:y val="7.4341326745436836E-2"/>
            </c:manualLayout>
          </c:layout>
        </c:title>
        <c:numFmt formatCode="0.E+00" sourceLinked="0"/>
        <c:majorTickMark val="in"/>
        <c:tickLblPos val="low"/>
        <c:spPr>
          <a:ln>
            <a:solidFill>
              <a:sysClr val="windowText" lastClr="000000"/>
            </a:solidFill>
          </a:ln>
        </c:spPr>
        <c:crossAx val="106270080"/>
        <c:crossesAt val="1.0000000000000028E-3"/>
        <c:crossBetween val="midCat"/>
        <c:majorUnit val="100"/>
      </c:valAx>
      <c:spPr>
        <a:ln>
          <a:solidFill>
            <a:schemeClr val="tx1"/>
          </a:solidFill>
        </a:ln>
      </c:spPr>
    </c:plotArea>
    <c:plotVisOnly val="1"/>
    <c:dispBlanksAs val="gap"/>
  </c:chart>
  <c:spPr>
    <a:ln>
      <a:noFill/>
    </a:ln>
  </c:spPr>
  <c:txPr>
    <a:bodyPr/>
    <a:lstStyle/>
    <a:p>
      <a:pPr>
        <a:defRPr sz="1200"/>
      </a:pPr>
      <a:endParaRPr lang="ja-JP"/>
    </a:p>
  </c:txPr>
  <c:printSettings>
    <c:headerFooter/>
    <c:pageMargins b="0.750000000000003" l="0.70000000000000062" r="0.70000000000000062" t="0.75000000000000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9945790154977244"/>
          <c:y val="3.8121152595444914E-2"/>
          <c:w val="0.75664556916761461"/>
          <c:h val="0.7734503903954566"/>
        </c:manualLayout>
      </c:layout>
      <c:scatterChart>
        <c:scatterStyle val="lineMarker"/>
        <c:ser>
          <c:idx val="0"/>
          <c:order val="0"/>
          <c:tx>
            <c:v>z</c:v>
          </c:tx>
          <c:xVal>
            <c:numRef>
              <c:f>'6'!$G$28:$G$29</c:f>
              <c:numCache>
                <c:formatCode>General</c:formatCode>
                <c:ptCount val="2"/>
                <c:pt idx="0">
                  <c:v>0</c:v>
                </c:pt>
                <c:pt idx="1">
                  <c:v>100</c:v>
                </c:pt>
              </c:numCache>
            </c:numRef>
          </c:xVal>
          <c:yVal>
            <c:numRef>
              <c:f>'6'!$G$28:$G$29</c:f>
              <c:numCache>
                <c:formatCode>General</c:formatCode>
                <c:ptCount val="2"/>
                <c:pt idx="0">
                  <c:v>0</c:v>
                </c:pt>
                <c:pt idx="1">
                  <c:v>100</c:v>
                </c:pt>
              </c:numCache>
            </c:numRef>
          </c:yVal>
        </c:ser>
        <c:ser>
          <c:idx val="1"/>
          <c:order val="1"/>
          <c:tx>
            <c:v>p</c:v>
          </c:tx>
          <c:xVal>
            <c:numRef>
              <c:f>'6'!$H$28:$H$29</c:f>
              <c:numCache>
                <c:formatCode>General</c:formatCode>
                <c:ptCount val="2"/>
                <c:pt idx="0">
                  <c:v>0</c:v>
                </c:pt>
                <c:pt idx="1">
                  <c:v>10</c:v>
                </c:pt>
              </c:numCache>
            </c:numRef>
          </c:xVal>
          <c:yVal>
            <c:numRef>
              <c:f>'6'!$G$28:$G$29</c:f>
              <c:numCache>
                <c:formatCode>General</c:formatCode>
                <c:ptCount val="2"/>
                <c:pt idx="0">
                  <c:v>0</c:v>
                </c:pt>
                <c:pt idx="1">
                  <c:v>100</c:v>
                </c:pt>
              </c:numCache>
            </c:numRef>
          </c:yVal>
        </c:ser>
        <c:ser>
          <c:idx val="2"/>
          <c:order val="2"/>
          <c:tx>
            <c:v>H</c:v>
          </c:tx>
          <c:xVal>
            <c:numRef>
              <c:f>'6'!$G$28:$G$29</c:f>
              <c:numCache>
                <c:formatCode>General</c:formatCode>
                <c:ptCount val="2"/>
                <c:pt idx="0">
                  <c:v>0</c:v>
                </c:pt>
                <c:pt idx="1">
                  <c:v>100</c:v>
                </c:pt>
              </c:numCache>
            </c:numRef>
          </c:xVal>
          <c:yVal>
            <c:numRef>
              <c:f>'6'!$I$28:$I$29</c:f>
              <c:numCache>
                <c:formatCode>General</c:formatCode>
                <c:ptCount val="2"/>
                <c:pt idx="0">
                  <c:v>0</c:v>
                </c:pt>
                <c:pt idx="1">
                  <c:v>110</c:v>
                </c:pt>
              </c:numCache>
            </c:numRef>
          </c:yVal>
        </c:ser>
        <c:axId val="106461824"/>
        <c:axId val="106476288"/>
      </c:scatterChart>
      <c:valAx>
        <c:axId val="106461824"/>
        <c:scaling>
          <c:orientation val="minMax"/>
          <c:max val="200"/>
          <c:min val="0"/>
        </c:scaling>
        <c:axPos val="b"/>
        <c:title>
          <c:tx>
            <c:rich>
              <a:bodyPr/>
              <a:lstStyle/>
              <a:p>
                <a:pPr>
                  <a:defRPr/>
                </a:pPr>
                <a:r>
                  <a:rPr lang="ja-JP"/>
                  <a:t>ポテンシャル水頭　</a:t>
                </a:r>
                <a:r>
                  <a:rPr lang="en-US"/>
                  <a:t>(cm)</a:t>
                </a:r>
                <a:endParaRPr lang="ja-JP"/>
              </a:p>
            </c:rich>
          </c:tx>
          <c:layout>
            <c:manualLayout>
              <c:xMode val="edge"/>
              <c:yMode val="edge"/>
              <c:x val="0.38055110958541638"/>
              <c:y val="0.91203703703703709"/>
            </c:manualLayout>
          </c:layout>
        </c:title>
        <c:numFmt formatCode="General" sourceLinked="1"/>
        <c:tickLblPos val="nextTo"/>
        <c:crossAx val="106476288"/>
        <c:crosses val="autoZero"/>
        <c:crossBetween val="midCat"/>
      </c:valAx>
      <c:valAx>
        <c:axId val="106476288"/>
        <c:scaling>
          <c:orientation val="minMax"/>
          <c:max val="200"/>
          <c:min val="0"/>
        </c:scaling>
        <c:axPos val="l"/>
        <c:title>
          <c:tx>
            <c:rich>
              <a:bodyPr rot="-5400000" vert="horz"/>
              <a:lstStyle/>
              <a:p>
                <a:pPr>
                  <a:defRPr/>
                </a:pPr>
                <a:r>
                  <a:rPr lang="ja-JP"/>
                  <a:t>カラム底面からの高さ</a:t>
                </a:r>
                <a:r>
                  <a:rPr lang="en-US"/>
                  <a:t>(cm)</a:t>
                </a:r>
                <a:endParaRPr lang="ja-JP"/>
              </a:p>
            </c:rich>
          </c:tx>
          <c:layout>
            <c:manualLayout>
              <c:xMode val="edge"/>
              <c:yMode val="edge"/>
              <c:x val="3.269754768392396E-2"/>
              <c:y val="0.14192330125400993"/>
            </c:manualLayout>
          </c:layout>
        </c:title>
        <c:numFmt formatCode="General" sourceLinked="1"/>
        <c:tickLblPos val="low"/>
        <c:crossAx val="106461824"/>
        <c:crosses val="autoZero"/>
        <c:crossBetween val="midCat"/>
        <c:majorUnit val="50"/>
      </c:valAx>
      <c:spPr>
        <a:ln>
          <a:solidFill>
            <a:schemeClr val="tx1"/>
          </a:solidFill>
        </a:ln>
      </c:spPr>
    </c:plotArea>
    <c:legend>
      <c:legendPos val="r"/>
      <c:layout>
        <c:manualLayout>
          <c:xMode val="edge"/>
          <c:yMode val="edge"/>
          <c:x val="0.78314088123180792"/>
          <c:y val="7.3497930740270334E-2"/>
          <c:w val="0.14060260178649378"/>
          <c:h val="0.25115157480314959"/>
        </c:manualLayout>
      </c:layout>
    </c:legend>
    <c:plotVisOnly val="1"/>
    <c:dispBlanksAs val="gap"/>
  </c:chart>
  <c:spPr>
    <a:ln>
      <a:noFill/>
    </a:ln>
  </c:spPr>
  <c:txPr>
    <a:bodyPr/>
    <a:lstStyle/>
    <a:p>
      <a:pPr>
        <a:defRPr sz="1200"/>
      </a:pPr>
      <a:endParaRPr lang="ja-JP"/>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image" Target="../media/image52.jpeg"/><Relationship Id="rId4" Type="http://schemas.openxmlformats.org/officeDocument/2006/relationships/chart" Target="../charts/chart2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72.emf"/><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image" Target="../media/image3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9.emf"/><Relationship Id="rId2" Type="http://schemas.openxmlformats.org/officeDocument/2006/relationships/image" Target="../media/image68.emf"/><Relationship Id="rId1" Type="http://schemas.openxmlformats.org/officeDocument/2006/relationships/image" Target="../media/image67.emf"/><Relationship Id="rId5" Type="http://schemas.openxmlformats.org/officeDocument/2006/relationships/image" Target="../media/image71.emf"/><Relationship Id="rId4" Type="http://schemas.openxmlformats.org/officeDocument/2006/relationships/image" Target="../media/image70.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4.emf"/><Relationship Id="rId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 Id="rId9" Type="http://schemas.openxmlformats.org/officeDocument/2006/relationships/image" Target="../media/image20.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2" Type="http://schemas.openxmlformats.org/officeDocument/2006/relationships/image" Target="../media/image22.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0.emf"/><Relationship Id="rId2" Type="http://schemas.openxmlformats.org/officeDocument/2006/relationships/image" Target="../media/image39.emf"/><Relationship Id="rId1" Type="http://schemas.openxmlformats.org/officeDocument/2006/relationships/image" Target="../media/image38.emf"/><Relationship Id="rId5" Type="http://schemas.openxmlformats.org/officeDocument/2006/relationships/image" Target="../media/image42.emf"/><Relationship Id="rId4" Type="http://schemas.openxmlformats.org/officeDocument/2006/relationships/image" Target="../media/image41.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50.emf"/><Relationship Id="rId3" Type="http://schemas.openxmlformats.org/officeDocument/2006/relationships/image" Target="../media/image45.emf"/><Relationship Id="rId7" Type="http://schemas.openxmlformats.org/officeDocument/2006/relationships/image" Target="../media/image49.emf"/><Relationship Id="rId2" Type="http://schemas.openxmlformats.org/officeDocument/2006/relationships/image" Target="../media/image44.emf"/><Relationship Id="rId1" Type="http://schemas.openxmlformats.org/officeDocument/2006/relationships/image" Target="../media/image43.emf"/><Relationship Id="rId6" Type="http://schemas.openxmlformats.org/officeDocument/2006/relationships/image" Target="../media/image48.emf"/><Relationship Id="rId5" Type="http://schemas.openxmlformats.org/officeDocument/2006/relationships/image" Target="../media/image47.emf"/><Relationship Id="rId4" Type="http://schemas.openxmlformats.org/officeDocument/2006/relationships/image" Target="../media/image46.emf"/><Relationship Id="rId9" Type="http://schemas.openxmlformats.org/officeDocument/2006/relationships/image" Target="../media/image51.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55.emf"/><Relationship Id="rId2" Type="http://schemas.openxmlformats.org/officeDocument/2006/relationships/image" Target="../media/image54.emf"/><Relationship Id="rId1" Type="http://schemas.openxmlformats.org/officeDocument/2006/relationships/image" Target="../media/image53.emf"/><Relationship Id="rId6" Type="http://schemas.openxmlformats.org/officeDocument/2006/relationships/image" Target="../media/image58.emf"/><Relationship Id="rId5" Type="http://schemas.openxmlformats.org/officeDocument/2006/relationships/image" Target="../media/image57.emf"/><Relationship Id="rId4" Type="http://schemas.openxmlformats.org/officeDocument/2006/relationships/image" Target="../media/image56.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66.emf"/><Relationship Id="rId3" Type="http://schemas.openxmlformats.org/officeDocument/2006/relationships/image" Target="../media/image61.emf"/><Relationship Id="rId7" Type="http://schemas.openxmlformats.org/officeDocument/2006/relationships/image" Target="../media/image65.emf"/><Relationship Id="rId2" Type="http://schemas.openxmlformats.org/officeDocument/2006/relationships/image" Target="../media/image60.emf"/><Relationship Id="rId1" Type="http://schemas.openxmlformats.org/officeDocument/2006/relationships/image" Target="../media/image59.emf"/><Relationship Id="rId6" Type="http://schemas.openxmlformats.org/officeDocument/2006/relationships/image" Target="../media/image64.emf"/><Relationship Id="rId5" Type="http://schemas.openxmlformats.org/officeDocument/2006/relationships/image" Target="../media/image63.emf"/><Relationship Id="rId4"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2117</xdr:rowOff>
    </xdr:from>
    <xdr:to>
      <xdr:col>11</xdr:col>
      <xdr:colOff>657225</xdr:colOff>
      <xdr:row>5</xdr:row>
      <xdr:rowOff>21167</xdr:rowOff>
    </xdr:to>
    <xdr:sp macro="" textlink="">
      <xdr:nvSpPr>
        <xdr:cNvPr id="2" name="テキスト ボックス 1"/>
        <xdr:cNvSpPr txBox="1"/>
      </xdr:nvSpPr>
      <xdr:spPr>
        <a:xfrm>
          <a:off x="0" y="240242"/>
          <a:ext cx="8201025"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下端に水源をもち、テンシオメータを挿入した長い土カラムが定常蒸発状態にある。カラムの断面積は</a:t>
          </a:r>
          <a:r>
            <a:rPr kumimoji="1" lang="en-US" altLang="ja-JP" sz="1200"/>
            <a:t>100</a:t>
          </a:r>
          <a:r>
            <a:rPr kumimoji="1" lang="ja-JP" altLang="en-US" sz="1200" baseline="0"/>
            <a:t> </a:t>
          </a:r>
          <a:r>
            <a:rPr kumimoji="1" lang="en-US" altLang="ja-JP" sz="1200"/>
            <a:t>cm²</a:t>
          </a:r>
          <a:r>
            <a:rPr kumimoji="1" lang="ja-JP" altLang="en-US" sz="1200"/>
            <a:t>である。毎日</a:t>
          </a:r>
          <a:r>
            <a:rPr kumimoji="1" lang="en-US" altLang="ja-JP" sz="1200"/>
            <a:t>150 cm³</a:t>
          </a:r>
          <a:r>
            <a:rPr kumimoji="1" lang="ja-JP" altLang="en-US" sz="1200"/>
            <a:t>の水を下端から吸水するとき、表のデータを用いて蒸発フラックスと</a:t>
          </a:r>
          <a:r>
            <a:rPr kumimoji="1" lang="en-US" altLang="ja-JP" sz="1200" i="1"/>
            <a:t>K</a:t>
          </a:r>
          <a:r>
            <a:rPr kumimoji="1" lang="en-US" altLang="ja-JP" sz="1200"/>
            <a:t>(</a:t>
          </a:r>
          <a:r>
            <a:rPr kumimoji="1" lang="en-US" altLang="ja-JP" sz="1200" i="1"/>
            <a:t>h</a:t>
          </a:r>
          <a:r>
            <a:rPr kumimoji="1" lang="en-US" altLang="ja-JP" sz="1200"/>
            <a:t>)</a:t>
          </a:r>
          <a:r>
            <a:rPr kumimoji="1" lang="ja-JP" altLang="en-US" sz="1200"/>
            <a:t>を計算しなさい。また、対数用紙に透水係数</a:t>
          </a:r>
          <a:r>
            <a:rPr kumimoji="1" lang="en-US" altLang="ja-JP" sz="1200" i="1"/>
            <a:t>K</a:t>
          </a:r>
          <a:r>
            <a:rPr kumimoji="1" lang="en-US" altLang="ja-JP" sz="1200"/>
            <a:t>(</a:t>
          </a:r>
          <a:r>
            <a:rPr kumimoji="1" lang="en-US" altLang="ja-JP" sz="1200" i="1"/>
            <a:t>h</a:t>
          </a:r>
          <a:r>
            <a:rPr kumimoji="1" lang="en-US" altLang="ja-JP" sz="1200"/>
            <a:t>)</a:t>
          </a:r>
          <a:r>
            <a:rPr kumimoji="1" lang="ja-JP" altLang="en-US" sz="1200"/>
            <a:t>と</a:t>
          </a:r>
          <a:r>
            <a:rPr kumimoji="1" lang="en-US" altLang="ja-JP" sz="1200" i="1"/>
            <a:t>h</a:t>
          </a:r>
          <a:r>
            <a:rPr kumimoji="1" lang="ja-JP" altLang="en-US" sz="1200"/>
            <a:t>の関係をプロットしなさい。</a:t>
          </a:r>
        </a:p>
      </xdr:txBody>
    </xdr:sp>
    <xdr:clientData/>
  </xdr:twoCellAnchor>
  <xdr:twoCellAnchor>
    <xdr:from>
      <xdr:col>6</xdr:col>
      <xdr:colOff>4762</xdr:colOff>
      <xdr:row>7</xdr:row>
      <xdr:rowOff>157162</xdr:rowOff>
    </xdr:from>
    <xdr:to>
      <xdr:col>12</xdr:col>
      <xdr:colOff>28575</xdr:colOff>
      <xdr:row>21</xdr:row>
      <xdr:rowOff>161925</xdr:rowOff>
    </xdr:to>
    <xdr:sp macro="" textlink="">
      <xdr:nvSpPr>
        <xdr:cNvPr id="3" name="テキスト ボックス 2"/>
        <xdr:cNvSpPr txBox="1"/>
      </xdr:nvSpPr>
      <xdr:spPr>
        <a:xfrm>
          <a:off x="4119562" y="1252537"/>
          <a:ext cx="4138613" cy="24050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バッキンガム</a:t>
          </a:r>
          <a:r>
            <a:rPr kumimoji="1" lang="en-US" altLang="ja-JP" sz="1100" b="1">
              <a:solidFill>
                <a:srgbClr val="FF0000"/>
              </a:solidFill>
            </a:rPr>
            <a:t>-</a:t>
          </a:r>
          <a:r>
            <a:rPr kumimoji="1" lang="ja-JP" altLang="en-US" sz="1100" b="1">
              <a:solidFill>
                <a:srgbClr val="FF0000"/>
              </a:solidFill>
            </a:rPr>
            <a:t>ダルシーのフラックス則</a:t>
          </a:r>
          <a:endParaRPr kumimoji="1" lang="en-US" altLang="ja-JP" sz="1100" b="1">
            <a:solidFill>
              <a:srgbClr val="FF0000"/>
            </a:solidFill>
          </a:endParaRPr>
        </a:p>
        <a:p>
          <a:r>
            <a:rPr kumimoji="1" lang="ja-JP" altLang="en-US" sz="1100"/>
            <a:t>不飽和土の水分フラックス</a:t>
          </a:r>
          <a:endParaRPr kumimoji="1" lang="en-US" altLang="ja-JP" sz="1100"/>
        </a:p>
        <a:p>
          <a:r>
            <a:rPr kumimoji="1" lang="en-US" altLang="ja-JP" sz="1100"/>
            <a:t>1</a:t>
          </a:r>
          <a:r>
            <a:rPr kumimoji="1" lang="ja-JP" altLang="en-US" sz="1100"/>
            <a:t>． 等温下で体積変化しない堅固な構造をもち、また溶質半透膜を</a:t>
          </a:r>
          <a:endParaRPr kumimoji="1" lang="en-US" altLang="ja-JP" sz="1100"/>
        </a:p>
        <a:p>
          <a:r>
            <a:rPr kumimoji="1" lang="ja-JP" altLang="en-US" sz="1100"/>
            <a:t>　　も たない、空気圧ポテンシャルがゼロである不飽和土中の水の</a:t>
          </a:r>
          <a:endParaRPr kumimoji="1" lang="en-US" altLang="ja-JP" sz="1100"/>
        </a:p>
        <a:p>
          <a:r>
            <a:rPr kumimoji="1" lang="ja-JP" altLang="en-US" sz="1100"/>
            <a:t>　　流れの駆動力は、マトリックポテンシャルと重力ポテンシャルの</a:t>
          </a:r>
          <a:endParaRPr kumimoji="1" lang="en-US" altLang="ja-JP" sz="1100"/>
        </a:p>
        <a:p>
          <a:r>
            <a:rPr kumimoji="1" lang="ja-JP" altLang="en-US" sz="1100"/>
            <a:t>　　和である。</a:t>
          </a:r>
          <a:endParaRPr kumimoji="1" lang="en-US" altLang="ja-JP" sz="1100"/>
        </a:p>
        <a:p>
          <a:r>
            <a:rPr kumimoji="1" lang="en-US" altLang="ja-JP" sz="1100"/>
            <a:t>2</a:t>
          </a:r>
          <a:r>
            <a:rPr kumimoji="1" lang="ja-JP" altLang="en-US" sz="1100"/>
            <a:t>． 不飽和土の透水係数は、水分量あるいはマトリックポテンシャル</a:t>
          </a:r>
          <a:endParaRPr kumimoji="1" lang="en-US" altLang="ja-JP" sz="1100"/>
        </a:p>
        <a:p>
          <a:r>
            <a:rPr kumimoji="1" lang="ja-JP" altLang="en-US" sz="1100"/>
            <a:t>　　の関数である。水頭単位を用いたとき、鉛直流れのバッキンガム</a:t>
          </a:r>
          <a:endParaRPr kumimoji="1" lang="en-US" altLang="ja-JP" sz="1100"/>
        </a:p>
        <a:p>
          <a:r>
            <a:rPr kumimoji="1" lang="ja-JP" altLang="en-US" sz="1100"/>
            <a:t>　　－ダルシー則は式</a:t>
          </a:r>
          <a:r>
            <a:rPr kumimoji="1" lang="en-US" altLang="ja-JP" sz="1100"/>
            <a:t>(3.28)</a:t>
          </a:r>
          <a:r>
            <a:rPr kumimoji="1" lang="ja-JP" altLang="en-US" sz="1100"/>
            <a:t>で表される。</a:t>
          </a:r>
        </a:p>
      </xdr:txBody>
    </xdr:sp>
    <xdr:clientData/>
  </xdr:twoCellAnchor>
  <xdr:twoCellAnchor>
    <xdr:from>
      <xdr:col>0</xdr:col>
      <xdr:colOff>257175</xdr:colOff>
      <xdr:row>9</xdr:row>
      <xdr:rowOff>85725</xdr:rowOff>
    </xdr:from>
    <xdr:to>
      <xdr:col>1</xdr:col>
      <xdr:colOff>247650</xdr:colOff>
      <xdr:row>21</xdr:row>
      <xdr:rowOff>57150</xdr:rowOff>
    </xdr:to>
    <xdr:sp macro="" textlink="">
      <xdr:nvSpPr>
        <xdr:cNvPr id="4" name="正方形/長方形 3"/>
        <xdr:cNvSpPr/>
      </xdr:nvSpPr>
      <xdr:spPr>
        <a:xfrm>
          <a:off x="257175" y="1695450"/>
          <a:ext cx="676275" cy="2028825"/>
        </a:xfrm>
        <a:prstGeom prst="rect">
          <a:avLst/>
        </a:prstGeom>
        <a:solidFill>
          <a:srgbClr val="996633"/>
        </a:solidFill>
        <a:ln>
          <a:solidFill>
            <a:srgbClr val="9966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21</xdr:row>
      <xdr:rowOff>57150</xdr:rowOff>
    </xdr:from>
    <xdr:to>
      <xdr:col>1</xdr:col>
      <xdr:colOff>390525</xdr:colOff>
      <xdr:row>24</xdr:row>
      <xdr:rowOff>123825</xdr:rowOff>
    </xdr:to>
    <xdr:sp macro="" textlink="">
      <xdr:nvSpPr>
        <xdr:cNvPr id="5" name="上矢印 4"/>
        <xdr:cNvSpPr/>
      </xdr:nvSpPr>
      <xdr:spPr>
        <a:xfrm>
          <a:off x="123825" y="3724275"/>
          <a:ext cx="952500" cy="5810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276225</xdr:colOff>
      <xdr:row>22</xdr:row>
      <xdr:rowOff>66675</xdr:rowOff>
    </xdr:from>
    <xdr:to>
      <xdr:col>1</xdr:col>
      <xdr:colOff>219074</xdr:colOff>
      <xdr:row>24</xdr:row>
      <xdr:rowOff>104774</xdr:rowOff>
    </xdr:to>
    <xdr:sp macro="" textlink="">
      <xdr:nvSpPr>
        <xdr:cNvPr id="6" name="テキスト ボックス 5"/>
        <xdr:cNvSpPr txBox="1"/>
      </xdr:nvSpPr>
      <xdr:spPr>
        <a:xfrm>
          <a:off x="276225" y="3905250"/>
          <a:ext cx="628649"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150</a:t>
          </a:r>
        </a:p>
        <a:p>
          <a:pPr algn="ctr"/>
          <a:r>
            <a:rPr kumimoji="1" lang="en-US" altLang="ja-JP" sz="900"/>
            <a:t>cm³/day</a:t>
          </a:r>
          <a:endParaRPr kumimoji="1" lang="ja-JP" altLang="en-US" sz="900"/>
        </a:p>
      </xdr:txBody>
    </xdr:sp>
    <xdr:clientData/>
  </xdr:twoCellAnchor>
  <xdr:twoCellAnchor>
    <xdr:from>
      <xdr:col>0</xdr:col>
      <xdr:colOff>209550</xdr:colOff>
      <xdr:row>6</xdr:row>
      <xdr:rowOff>28575</xdr:rowOff>
    </xdr:from>
    <xdr:to>
      <xdr:col>1</xdr:col>
      <xdr:colOff>371475</xdr:colOff>
      <xdr:row>9</xdr:row>
      <xdr:rowOff>66675</xdr:rowOff>
    </xdr:to>
    <xdr:sp macro="" textlink="">
      <xdr:nvSpPr>
        <xdr:cNvPr id="7" name="雲 6"/>
        <xdr:cNvSpPr/>
      </xdr:nvSpPr>
      <xdr:spPr>
        <a:xfrm>
          <a:off x="209550" y="1123950"/>
          <a:ext cx="847725" cy="552450"/>
        </a:xfrm>
        <a:prstGeom prst="cloud">
          <a:avLst/>
        </a:prstGeom>
        <a:solidFill>
          <a:schemeClr val="bg1"/>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7</xdr:row>
      <xdr:rowOff>9525</xdr:rowOff>
    </xdr:from>
    <xdr:to>
      <xdr:col>1</xdr:col>
      <xdr:colOff>200025</xdr:colOff>
      <xdr:row>8</xdr:row>
      <xdr:rowOff>19050</xdr:rowOff>
    </xdr:to>
    <xdr:sp macro="" textlink="">
      <xdr:nvSpPr>
        <xdr:cNvPr id="8" name="テキスト ボックス 7"/>
        <xdr:cNvSpPr txBox="1"/>
      </xdr:nvSpPr>
      <xdr:spPr>
        <a:xfrm>
          <a:off x="438150" y="1276350"/>
          <a:ext cx="447675" cy="1809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i="1"/>
            <a:t>J</a:t>
          </a:r>
          <a:r>
            <a:rPr kumimoji="1" lang="en-US" altLang="ja-JP" sz="1100"/>
            <a:t> = ?</a:t>
          </a:r>
          <a:endParaRPr kumimoji="1" lang="ja-JP" altLang="en-US" sz="1100"/>
        </a:p>
      </xdr:txBody>
    </xdr:sp>
    <xdr:clientData/>
  </xdr:twoCellAnchor>
  <xdr:twoCellAnchor>
    <xdr:from>
      <xdr:col>0</xdr:col>
      <xdr:colOff>123825</xdr:colOff>
      <xdr:row>47</xdr:row>
      <xdr:rowOff>95251</xdr:rowOff>
    </xdr:from>
    <xdr:to>
      <xdr:col>4</xdr:col>
      <xdr:colOff>480444</xdr:colOff>
      <xdr:row>63</xdr:row>
      <xdr:rowOff>1</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85726</xdr:colOff>
      <xdr:row>22</xdr:row>
      <xdr:rowOff>1</xdr:rowOff>
    </xdr:from>
    <xdr:to>
      <xdr:col>2</xdr:col>
      <xdr:colOff>638176</xdr:colOff>
      <xdr:row>24</xdr:row>
      <xdr:rowOff>123825</xdr:rowOff>
    </xdr:to>
    <xdr:sp macro="" textlink="">
      <xdr:nvSpPr>
        <xdr:cNvPr id="10" name="角丸四角形吹き出し 9"/>
        <xdr:cNvSpPr/>
      </xdr:nvSpPr>
      <xdr:spPr>
        <a:xfrm>
          <a:off x="1457326" y="3838576"/>
          <a:ext cx="552450" cy="466724"/>
        </a:xfrm>
        <a:prstGeom prst="wedgeRoundRectCallout">
          <a:avLst>
            <a:gd name="adj1" fmla="val -126889"/>
            <a:gd name="adj2" fmla="val -6473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z =</a:t>
          </a:r>
          <a:r>
            <a:rPr kumimoji="1" lang="ja-JP" altLang="en-US" sz="1100" baseline="0"/>
            <a:t> </a:t>
          </a:r>
          <a:r>
            <a:rPr kumimoji="1" lang="en-US" altLang="ja-JP" sz="1100"/>
            <a:t>0</a:t>
          </a:r>
        </a:p>
      </xdr:txBody>
    </xdr:sp>
    <xdr:clientData/>
  </xdr:twoCellAnchor>
  <xdr:twoCellAnchor>
    <xdr:from>
      <xdr:col>4</xdr:col>
      <xdr:colOff>447675</xdr:colOff>
      <xdr:row>47</xdr:row>
      <xdr:rowOff>95251</xdr:rowOff>
    </xdr:from>
    <xdr:to>
      <xdr:col>9</xdr:col>
      <xdr:colOff>118494</xdr:colOff>
      <xdr:row>63</xdr:row>
      <xdr:rowOff>1</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47</xdr:row>
      <xdr:rowOff>95251</xdr:rowOff>
    </xdr:from>
    <xdr:to>
      <xdr:col>13</xdr:col>
      <xdr:colOff>461394</xdr:colOff>
      <xdr:row>63</xdr:row>
      <xdr:rowOff>1</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138510</xdr:colOff>
      <xdr:row>40</xdr:row>
      <xdr:rowOff>31750</xdr:rowOff>
    </xdr:from>
    <xdr:to>
      <xdr:col>11</xdr:col>
      <xdr:colOff>624285</xdr:colOff>
      <xdr:row>58</xdr:row>
      <xdr:rowOff>88913</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17863</xdr:colOff>
      <xdr:row>40</xdr:row>
      <xdr:rowOff>24355</xdr:rowOff>
    </xdr:from>
    <xdr:to>
      <xdr:col>17</xdr:col>
      <xdr:colOff>456013</xdr:colOff>
      <xdr:row>58</xdr:row>
      <xdr:rowOff>105847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105833</xdr:colOff>
      <xdr:row>60</xdr:row>
      <xdr:rowOff>137584</xdr:rowOff>
    </xdr:from>
    <xdr:to>
      <xdr:col>11</xdr:col>
      <xdr:colOff>591608</xdr:colOff>
      <xdr:row>79</xdr:row>
      <xdr:rowOff>45508</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666751</xdr:colOff>
      <xdr:row>60</xdr:row>
      <xdr:rowOff>148167</xdr:rowOff>
    </xdr:from>
    <xdr:to>
      <xdr:col>17</xdr:col>
      <xdr:colOff>416984</xdr:colOff>
      <xdr:row>79</xdr:row>
      <xdr:rowOff>39159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566047</xdr:colOff>
      <xdr:row>9</xdr:row>
      <xdr:rowOff>126999</xdr:rowOff>
    </xdr:from>
    <xdr:to>
      <xdr:col>13</xdr:col>
      <xdr:colOff>273209</xdr:colOff>
      <xdr:row>38</xdr:row>
      <xdr:rowOff>60322</xdr:rowOff>
    </xdr:to>
    <xdr:pic>
      <xdr:nvPicPr>
        <xdr:cNvPr id="6" name="図 5" descr="根の分布.jpg"/>
        <xdr:cNvPicPr>
          <a:picLocks noChangeAspect="1"/>
        </xdr:cNvPicPr>
      </xdr:nvPicPr>
      <xdr:blipFill>
        <a:blip xmlns:r="http://schemas.openxmlformats.org/officeDocument/2006/relationships" r:embed="rId5" cstate="print"/>
        <a:stretch>
          <a:fillRect/>
        </a:stretch>
      </xdr:blipFill>
      <xdr:spPr>
        <a:xfrm>
          <a:off x="6069380" y="1725082"/>
          <a:ext cx="3146746" cy="5542490"/>
        </a:xfrm>
        <a:prstGeom prst="rect">
          <a:avLst/>
        </a:prstGeom>
      </xdr:spPr>
    </xdr:pic>
    <xdr:clientData/>
  </xdr:twoCellAnchor>
  <xdr:twoCellAnchor>
    <xdr:from>
      <xdr:col>0</xdr:col>
      <xdr:colOff>28575</xdr:colOff>
      <xdr:row>1</xdr:row>
      <xdr:rowOff>2116</xdr:rowOff>
    </xdr:from>
    <xdr:to>
      <xdr:col>12</xdr:col>
      <xdr:colOff>0</xdr:colOff>
      <xdr:row>8</xdr:row>
      <xdr:rowOff>21167</xdr:rowOff>
    </xdr:to>
    <xdr:sp macro="" textlink="">
      <xdr:nvSpPr>
        <xdr:cNvPr id="7" name="テキスト ボックス 6"/>
        <xdr:cNvSpPr txBox="1"/>
      </xdr:nvSpPr>
      <xdr:spPr>
        <a:xfrm>
          <a:off x="28575" y="245533"/>
          <a:ext cx="8226425" cy="120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200" b="0" i="0" u="none" strike="noStrike">
              <a:solidFill>
                <a:schemeClr val="dk1"/>
              </a:solidFill>
              <a:latin typeface="+mn-lt"/>
              <a:ea typeface="+mn-ea"/>
              <a:cs typeface="+mn-cs"/>
            </a:rPr>
            <a:t>厚さ </a:t>
          </a:r>
          <a:r>
            <a:rPr lang="en-US" altLang="ja-JP" sz="1200" b="0" i="1" u="none" strike="noStrike">
              <a:solidFill>
                <a:schemeClr val="dk1"/>
              </a:solidFill>
              <a:latin typeface="+mn-lt"/>
              <a:ea typeface="+mn-ea"/>
              <a:cs typeface="+mn-cs"/>
            </a:rPr>
            <a:t>L</a:t>
          </a:r>
          <a:r>
            <a:rPr lang="en-US" altLang="ja-JP" sz="1200" b="0" i="0" u="none" strike="noStrike">
              <a:solidFill>
                <a:schemeClr val="dk1"/>
              </a:solidFill>
              <a:latin typeface="+mn-lt"/>
              <a:ea typeface="+mn-ea"/>
              <a:cs typeface="+mn-cs"/>
            </a:rPr>
            <a:t> </a:t>
          </a:r>
          <a:r>
            <a:rPr lang="ja-JP" altLang="en-US" sz="1200" b="0" i="0" u="none" strike="noStrike">
              <a:solidFill>
                <a:schemeClr val="dk1"/>
              </a:solidFill>
              <a:latin typeface="+mn-lt"/>
              <a:ea typeface="+mn-ea"/>
              <a:cs typeface="+mn-cs"/>
            </a:rPr>
            <a:t>の根群域に、地表面 </a:t>
          </a:r>
          <a:r>
            <a:rPr lang="en-US" altLang="ja-JP" sz="1200" b="0" i="1" u="none" strike="noStrike">
              <a:solidFill>
                <a:schemeClr val="dk1"/>
              </a:solidFill>
              <a:latin typeface="+mn-lt"/>
              <a:ea typeface="+mn-ea"/>
              <a:cs typeface="+mn-cs"/>
            </a:rPr>
            <a:t>z</a:t>
          </a:r>
          <a:r>
            <a:rPr lang="en-US" altLang="ja-JP" sz="1200" b="0" i="0" u="none" strike="noStrike">
              <a:solidFill>
                <a:schemeClr val="dk1"/>
              </a:solidFill>
              <a:latin typeface="+mn-lt"/>
              <a:ea typeface="+mn-ea"/>
              <a:cs typeface="+mn-cs"/>
            </a:rPr>
            <a:t> = 0 </a:t>
          </a:r>
          <a:r>
            <a:rPr lang="ja-JP" altLang="en-US" sz="1200" b="0" i="0" u="none" strike="noStrike">
              <a:solidFill>
                <a:schemeClr val="dk1"/>
              </a:solidFill>
              <a:latin typeface="+mn-lt"/>
              <a:ea typeface="+mn-ea"/>
              <a:cs typeface="+mn-cs"/>
            </a:rPr>
            <a:t>で，</a:t>
          </a:r>
          <a:r>
            <a:rPr lang="en-US" altLang="ja-JP" sz="1200" b="0" i="1" u="none" strike="noStrike">
              <a:solidFill>
                <a:schemeClr val="dk1"/>
              </a:solidFill>
              <a:latin typeface="+mn-lt"/>
              <a:ea typeface="+mn-ea"/>
              <a:cs typeface="+mn-cs"/>
            </a:rPr>
            <a:t>J</a:t>
          </a:r>
          <a:r>
            <a:rPr lang="en-US" altLang="ja-JP" sz="1200" b="0" i="0" u="none" strike="noStrike" baseline="-25000">
              <a:solidFill>
                <a:schemeClr val="dk1"/>
              </a:solidFill>
              <a:latin typeface="+mn-lt"/>
              <a:ea typeface="+mn-ea"/>
              <a:cs typeface="+mn-cs"/>
            </a:rPr>
            <a:t>w</a:t>
          </a:r>
          <a:r>
            <a:rPr lang="en-US" altLang="ja-JP" sz="1200" b="0" i="0" u="none" strike="noStrike">
              <a:solidFill>
                <a:schemeClr val="dk1"/>
              </a:solidFill>
              <a:latin typeface="+mn-lt"/>
              <a:ea typeface="+mn-ea"/>
              <a:cs typeface="+mn-cs"/>
            </a:rPr>
            <a:t> = </a:t>
          </a:r>
          <a:r>
            <a:rPr lang="ja-JP" altLang="en-US" sz="1200" b="0" i="0" u="none" strike="noStrike">
              <a:solidFill>
                <a:schemeClr val="dk1"/>
              </a:solidFill>
              <a:latin typeface="+mn-lt"/>
              <a:ea typeface="+mn-ea"/>
              <a:cs typeface="+mn-cs"/>
            </a:rPr>
            <a:t>－</a:t>
          </a:r>
          <a:r>
            <a:rPr lang="en-US" altLang="ja-JP" sz="1200" b="0" i="1" u="none" strike="noStrike">
              <a:solidFill>
                <a:schemeClr val="dk1"/>
              </a:solidFill>
              <a:latin typeface="+mn-lt"/>
              <a:ea typeface="+mn-ea"/>
              <a:cs typeface="+mn-cs"/>
            </a:rPr>
            <a:t>i</a:t>
          </a:r>
          <a:r>
            <a:rPr lang="en-US" altLang="ja-JP" sz="1200" b="0" i="0" u="none" strike="noStrike" baseline="-25000">
              <a:solidFill>
                <a:schemeClr val="dk1"/>
              </a:solidFill>
              <a:latin typeface="+mn-lt"/>
              <a:ea typeface="+mn-ea"/>
              <a:cs typeface="+mn-cs"/>
            </a:rPr>
            <a:t>0</a:t>
          </a:r>
          <a:r>
            <a:rPr lang="en-US" altLang="ja-JP" sz="1200" b="0" i="0" u="none" strike="noStrike">
              <a:solidFill>
                <a:schemeClr val="dk1"/>
              </a:solidFill>
              <a:latin typeface="+mn-lt"/>
              <a:ea typeface="+mn-ea"/>
              <a:cs typeface="+mn-cs"/>
            </a:rPr>
            <a:t> </a:t>
          </a:r>
          <a:r>
            <a:rPr lang="ja-JP" altLang="en-US" sz="1200" b="0" i="0" u="none" strike="noStrike">
              <a:solidFill>
                <a:schemeClr val="dk1"/>
              </a:solidFill>
              <a:latin typeface="+mn-lt"/>
              <a:ea typeface="+mn-ea"/>
              <a:cs typeface="+mn-cs"/>
            </a:rPr>
            <a:t>の強度で高い頻度で灌漑する</a:t>
          </a:r>
          <a:r>
            <a:rPr kumimoji="1" lang="ja-JP" altLang="en-US" sz="1200" baseline="0"/>
            <a:t>。根による吸水分布は、</a:t>
          </a:r>
          <a:endParaRPr kumimoji="1" lang="en-US" altLang="ja-JP" sz="1200"/>
        </a:p>
        <a:p>
          <a:pPr algn="l"/>
          <a:endParaRPr kumimoji="1" lang="en-US" altLang="ja-JP" sz="1200"/>
        </a:p>
        <a:p>
          <a:pPr algn="l"/>
          <a:endParaRPr kumimoji="1" lang="en-US" altLang="ja-JP" sz="1800"/>
        </a:p>
        <a:p>
          <a:pPr algn="l"/>
          <a:r>
            <a:rPr kumimoji="1" lang="ja-JP" altLang="en-US" sz="1200" b="0"/>
            <a:t>とする。定常状態のとき、水分フラックスを深さ </a:t>
          </a:r>
          <a:r>
            <a:rPr kumimoji="1" lang="en-US" altLang="ja-JP" sz="1200" b="0" i="1"/>
            <a:t>z</a:t>
          </a:r>
          <a:r>
            <a:rPr kumimoji="1" lang="en-US" altLang="ja-JP" sz="1200" b="0"/>
            <a:t> </a:t>
          </a:r>
          <a:r>
            <a:rPr kumimoji="1" lang="ja-JP" altLang="en-US" sz="1200" b="0"/>
            <a:t>の関数で表しなさい。また、パラメータ </a:t>
          </a:r>
          <a:r>
            <a:rPr kumimoji="1" lang="en-US" altLang="ja-JP" sz="1200" b="0" i="1"/>
            <a:t>a</a:t>
          </a:r>
          <a:r>
            <a:rPr kumimoji="1" lang="en-US" altLang="ja-JP" sz="1200" b="0"/>
            <a:t> </a:t>
          </a:r>
          <a:r>
            <a:rPr kumimoji="1" lang="ja-JP" altLang="en-US" sz="1200" b="0"/>
            <a:t>と根群域中の全水分損失速度 </a:t>
          </a:r>
          <a:r>
            <a:rPr kumimoji="1" lang="en-US" altLang="ja-JP" sz="1200" b="0"/>
            <a:t>ET</a:t>
          </a:r>
          <a:r>
            <a:rPr kumimoji="1" lang="ja-JP" altLang="en-US" sz="1200" b="0"/>
            <a:t>（蒸発散）の関係を示しなさい．</a:t>
          </a:r>
          <a:endParaRPr kumimoji="1" lang="en-US" altLang="ja-JP" sz="1200" b="0"/>
        </a:p>
        <a:p>
          <a:pPr algn="l"/>
          <a:endParaRPr kumimoji="1" lang="en-US"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58208</xdr:colOff>
      <xdr:row>35</xdr:row>
      <xdr:rowOff>127000</xdr:rowOff>
    </xdr:from>
    <xdr:to>
      <xdr:col>12</xdr:col>
      <xdr:colOff>486833</xdr:colOff>
      <xdr:row>53</xdr:row>
      <xdr:rowOff>68792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92075</xdr:colOff>
      <xdr:row>1</xdr:row>
      <xdr:rowOff>2117</xdr:rowOff>
    </xdr:from>
    <xdr:to>
      <xdr:col>12</xdr:col>
      <xdr:colOff>63500</xdr:colOff>
      <xdr:row>14</xdr:row>
      <xdr:rowOff>133351</xdr:rowOff>
    </xdr:to>
    <xdr:sp macro="" textlink="">
      <xdr:nvSpPr>
        <xdr:cNvPr id="3" name="テキスト ボックス 2"/>
        <xdr:cNvSpPr txBox="1"/>
      </xdr:nvSpPr>
      <xdr:spPr>
        <a:xfrm>
          <a:off x="92075" y="245534"/>
          <a:ext cx="8226425" cy="2586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鉛直土カラムを、初期飽和して</a:t>
          </a:r>
          <a:r>
            <a:rPr kumimoji="1" lang="en-US" altLang="ja-JP" sz="1200">
              <a:latin typeface="Symbol" pitchFamily="18" charset="2"/>
            </a:rPr>
            <a:t>q</a:t>
          </a:r>
          <a:r>
            <a:rPr kumimoji="1" lang="en-US" altLang="ja-JP" sz="1200" baseline="-25000"/>
            <a:t>s</a:t>
          </a:r>
          <a:r>
            <a:rPr kumimoji="1" lang="en-US" altLang="ja-JP" sz="1200"/>
            <a:t> = 0.4 </a:t>
          </a:r>
          <a:r>
            <a:rPr kumimoji="1" lang="ja-JP" altLang="en-US" sz="1200"/>
            <a:t>にする．その後，長さ </a:t>
          </a:r>
          <a:r>
            <a:rPr kumimoji="1" lang="en-US" altLang="ja-JP" sz="1200" i="1"/>
            <a:t>L</a:t>
          </a:r>
          <a:r>
            <a:rPr kumimoji="1" lang="en-US" altLang="ja-JP" sz="1200"/>
            <a:t> = 50 cm </a:t>
          </a:r>
          <a:r>
            <a:rPr kumimoji="1" lang="ja-JP" altLang="en-US" sz="1200"/>
            <a:t>全体が一様に排水した［</a:t>
          </a:r>
          <a:r>
            <a:rPr kumimoji="1" lang="en-US" altLang="ja-JP" sz="1200">
              <a:latin typeface="Symbol" pitchFamily="18" charset="2"/>
            </a:rPr>
            <a:t>q</a:t>
          </a:r>
          <a:r>
            <a:rPr kumimoji="1" lang="el-GR" altLang="ja-JP" sz="1200"/>
            <a:t>(</a:t>
          </a:r>
          <a:r>
            <a:rPr kumimoji="1" lang="en-US" altLang="ja-JP" sz="1200" i="1"/>
            <a:t>z</a:t>
          </a:r>
          <a:r>
            <a:rPr kumimoji="1" lang="en-US" altLang="ja-JP" sz="1200"/>
            <a:t>, </a:t>
          </a:r>
          <a:r>
            <a:rPr kumimoji="1" lang="en-US" altLang="ja-JP" sz="1200" i="1"/>
            <a:t>t</a:t>
          </a:r>
          <a:r>
            <a:rPr kumimoji="1" lang="en-US" altLang="ja-JP" sz="1200"/>
            <a:t>) </a:t>
          </a:r>
          <a:r>
            <a:rPr kumimoji="1" lang="ja-JP" altLang="en-US" sz="1200"/>
            <a:t>が </a:t>
          </a:r>
          <a:r>
            <a:rPr kumimoji="1" lang="en-US" altLang="ja-JP" sz="1200" i="1"/>
            <a:t>z</a:t>
          </a:r>
          <a:r>
            <a:rPr kumimoji="1" lang="en-US" altLang="ja-JP" sz="1200"/>
            <a:t> </a:t>
          </a:r>
          <a:r>
            <a:rPr kumimoji="1" lang="ja-JP" altLang="en-US" sz="1200"/>
            <a:t>によらず等しい］。</a:t>
          </a:r>
          <a:endParaRPr kumimoji="1" lang="en-US" altLang="ja-JP" sz="1200"/>
        </a:p>
        <a:p>
          <a:pPr algn="l"/>
          <a:r>
            <a:rPr kumimoji="1" lang="ja-JP" altLang="en-US" sz="1200"/>
            <a:t>土は、次の不飽和透水係数－水分量関数をもつ。</a:t>
          </a:r>
          <a:endParaRPr kumimoji="1" lang="en-US" altLang="ja-JP" sz="1200"/>
        </a:p>
        <a:p>
          <a:pPr algn="l"/>
          <a:endParaRPr kumimoji="1" lang="en-US" altLang="ja-JP" sz="1200"/>
        </a:p>
        <a:p>
          <a:pPr algn="l"/>
          <a:endParaRPr kumimoji="1" lang="en-US" altLang="ja-JP" sz="1800"/>
        </a:p>
        <a:p>
          <a:pPr algn="l"/>
          <a:r>
            <a:rPr kumimoji="1" lang="ja-JP" altLang="en-US" sz="1200"/>
            <a:t>ここで、</a:t>
          </a:r>
          <a:r>
            <a:rPr kumimoji="1" lang="en-US" altLang="ja-JP" sz="1200" i="1"/>
            <a:t>K</a:t>
          </a:r>
          <a:r>
            <a:rPr kumimoji="1" lang="en-US" altLang="ja-JP" sz="1200" baseline="-25000"/>
            <a:t>s</a:t>
          </a:r>
          <a:r>
            <a:rPr kumimoji="1" lang="en-US" altLang="ja-JP" sz="1200"/>
            <a:t> = 100 cm day</a:t>
          </a:r>
          <a:r>
            <a:rPr kumimoji="1" lang="en-US" altLang="ja-JP" sz="1200" baseline="30000"/>
            <a:t>-1</a:t>
          </a:r>
          <a:r>
            <a:rPr kumimoji="1" lang="ja-JP" altLang="en-US" sz="1200"/>
            <a:t>，</a:t>
          </a:r>
          <a:r>
            <a:rPr kumimoji="1" lang="el-GR" altLang="ja-JP" sz="1200"/>
            <a:t>β = 20 </a:t>
          </a:r>
          <a:r>
            <a:rPr kumimoji="1" lang="ja-JP" altLang="en-US" sz="1200"/>
            <a:t>である。重力流れのモデルを用いて以下の問いを計算しなさい。</a:t>
          </a:r>
          <a:endParaRPr kumimoji="1" lang="en-US" altLang="ja-JP" sz="1200"/>
        </a:p>
        <a:p>
          <a:pPr algn="l"/>
          <a:endParaRPr kumimoji="1" lang="en-US" altLang="ja-JP" sz="1200"/>
        </a:p>
        <a:p>
          <a:pPr algn="l"/>
          <a:endParaRPr kumimoji="1" lang="en-US" altLang="ja-JP" sz="1800"/>
        </a:p>
        <a:p>
          <a:pPr algn="l"/>
          <a:r>
            <a:rPr kumimoji="1" lang="en-US" altLang="ja-JP" sz="1200"/>
            <a:t>(a)</a:t>
          </a:r>
          <a:r>
            <a:rPr kumimoji="1" lang="ja-JP" altLang="en-US" sz="1200"/>
            <a:t> 土の平均水分量を時間の関数として計算しなさい。</a:t>
          </a:r>
          <a:endParaRPr kumimoji="1" lang="en-US" altLang="ja-JP" sz="1200"/>
        </a:p>
        <a:p>
          <a:pPr algn="l"/>
          <a:r>
            <a:rPr kumimoji="1" lang="en-US" altLang="ja-JP" sz="1200"/>
            <a:t>(b)</a:t>
          </a:r>
          <a:r>
            <a:rPr kumimoji="1" lang="ja-JP" altLang="en-US" sz="1200"/>
            <a:t> </a:t>
          </a:r>
          <a:r>
            <a:rPr kumimoji="1" lang="en-US" altLang="ja-JP" sz="1200" i="1"/>
            <a:t>t</a:t>
          </a:r>
          <a:r>
            <a:rPr kumimoji="1" lang="en-US" altLang="ja-JP" sz="1200"/>
            <a:t> = </a:t>
          </a:r>
          <a:r>
            <a:rPr kumimoji="1" lang="en-US" altLang="ja-JP" sz="1200">
              <a:latin typeface="Times New Roman" pitchFamily="18" charset="0"/>
              <a:cs typeface="Times New Roman" pitchFamily="18" charset="0"/>
            </a:rPr>
            <a:t>∞</a:t>
          </a:r>
          <a:r>
            <a:rPr kumimoji="1" lang="en-US" altLang="ja-JP" sz="1200"/>
            <a:t> </a:t>
          </a:r>
          <a:r>
            <a:rPr kumimoji="1" lang="ja-JP" altLang="en-US" sz="1200"/>
            <a:t>における予測される水分量を求めなさい。</a:t>
          </a:r>
          <a:endParaRPr kumimoji="1" lang="en-US" altLang="ja-JP" sz="1200"/>
        </a:p>
        <a:p>
          <a:pPr algn="l"/>
          <a:r>
            <a:rPr kumimoji="1" lang="ja-JP" altLang="en-US" sz="1200"/>
            <a:t>（</a:t>
          </a:r>
          <a:r>
            <a:rPr kumimoji="1" lang="en-US" altLang="ja-JP" sz="1200"/>
            <a:t>c</a:t>
          </a:r>
          <a:r>
            <a:rPr kumimoji="1" lang="ja-JP" altLang="en-US" sz="1200"/>
            <a:t>） カラムが</a:t>
          </a:r>
          <a:r>
            <a:rPr kumimoji="1" lang="el-GR" altLang="ja-JP" sz="1200"/>
            <a:t>θ = 0 </a:t>
          </a:r>
          <a:r>
            <a:rPr kumimoji="1" lang="ja-JP" altLang="en-US" sz="1200"/>
            <a:t>まで排水するのにかかる時間を求めなさい。</a:t>
          </a:r>
          <a:endParaRPr kumimoji="1" lang="en-US" altLang="ja-JP" sz="1200"/>
        </a:p>
        <a:p>
          <a:pPr algn="l"/>
          <a:r>
            <a:rPr kumimoji="1" lang="ja-JP" altLang="en-US" sz="1200"/>
            <a:t>（</a:t>
          </a:r>
          <a:r>
            <a:rPr kumimoji="1" lang="en-US" altLang="ja-JP" sz="1200"/>
            <a:t>d</a:t>
          </a:r>
          <a:r>
            <a:rPr kumimoji="1" lang="ja-JP" altLang="en-US" sz="1200"/>
            <a:t>） この結果の物理的意味を議論しなさい．なぜ最終水分量が現実的でない値になったかを考察しなさい。</a:t>
          </a:r>
          <a:endParaRPr kumimoji="1" lang="en-US" altLang="ja-JP" sz="1200"/>
        </a:p>
        <a:p>
          <a:pPr algn="l"/>
          <a:endParaRPr kumimoji="1" lang="en-US" altLang="ja-JP" sz="1200"/>
        </a:p>
      </xdr:txBody>
    </xdr:sp>
    <xdr:clientData/>
  </xdr:twoCellAnchor>
  <xdr:twoCellAnchor>
    <xdr:from>
      <xdr:col>7</xdr:col>
      <xdr:colOff>58208</xdr:colOff>
      <xdr:row>15</xdr:row>
      <xdr:rowOff>127000</xdr:rowOff>
    </xdr:from>
    <xdr:to>
      <xdr:col>12</xdr:col>
      <xdr:colOff>486833</xdr:colOff>
      <xdr:row>34</xdr:row>
      <xdr:rowOff>164042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60856</xdr:colOff>
      <xdr:row>62</xdr:row>
      <xdr:rowOff>237864</xdr:rowOff>
    </xdr:from>
    <xdr:to>
      <xdr:col>14</xdr:col>
      <xdr:colOff>352226</xdr:colOff>
      <xdr:row>79</xdr:row>
      <xdr:rowOff>131142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613833</xdr:colOff>
      <xdr:row>70</xdr:row>
      <xdr:rowOff>10583</xdr:rowOff>
    </xdr:from>
    <xdr:to>
      <xdr:col>0</xdr:col>
      <xdr:colOff>613833</xdr:colOff>
      <xdr:row>72</xdr:row>
      <xdr:rowOff>0</xdr:rowOff>
    </xdr:to>
    <xdr:cxnSp macro="">
      <xdr:nvCxnSpPr>
        <xdr:cNvPr id="3" name="直線矢印コネクタ 2"/>
        <xdr:cNvCxnSpPr/>
      </xdr:nvCxnSpPr>
      <xdr:spPr>
        <a:xfrm>
          <a:off x="613833" y="867833"/>
          <a:ext cx="0" cy="3323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618066</xdr:colOff>
      <xdr:row>72</xdr:row>
      <xdr:rowOff>14817</xdr:rowOff>
    </xdr:from>
    <xdr:to>
      <xdr:col>0</xdr:col>
      <xdr:colOff>618066</xdr:colOff>
      <xdr:row>82</xdr:row>
      <xdr:rowOff>158750</xdr:rowOff>
    </xdr:to>
    <xdr:cxnSp macro="">
      <xdr:nvCxnSpPr>
        <xdr:cNvPr id="4" name="直線矢印コネクタ 3"/>
        <xdr:cNvCxnSpPr/>
      </xdr:nvCxnSpPr>
      <xdr:spPr>
        <a:xfrm>
          <a:off x="618066" y="1214967"/>
          <a:ext cx="0" cy="18584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338666</xdr:colOff>
      <xdr:row>83</xdr:row>
      <xdr:rowOff>0</xdr:rowOff>
    </xdr:from>
    <xdr:to>
      <xdr:col>1</xdr:col>
      <xdr:colOff>338666</xdr:colOff>
      <xdr:row>85</xdr:row>
      <xdr:rowOff>0</xdr:rowOff>
    </xdr:to>
    <xdr:cxnSp macro="">
      <xdr:nvCxnSpPr>
        <xdr:cNvPr id="5" name="直線矢印コネクタ 4"/>
        <xdr:cNvCxnSpPr/>
      </xdr:nvCxnSpPr>
      <xdr:spPr>
        <a:xfrm>
          <a:off x="1024466" y="3086100"/>
          <a:ext cx="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75</xdr:row>
      <xdr:rowOff>137584</xdr:rowOff>
    </xdr:from>
    <xdr:to>
      <xdr:col>6</xdr:col>
      <xdr:colOff>0</xdr:colOff>
      <xdr:row>78</xdr:row>
      <xdr:rowOff>42333</xdr:rowOff>
    </xdr:to>
    <xdr:sp macro="" textlink="">
      <xdr:nvSpPr>
        <xdr:cNvPr id="6" name="右矢印 5"/>
        <xdr:cNvSpPr/>
      </xdr:nvSpPr>
      <xdr:spPr>
        <a:xfrm>
          <a:off x="1392767" y="1852084"/>
          <a:ext cx="3368675" cy="419099"/>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t1</a:t>
          </a:r>
          <a:r>
            <a:rPr kumimoji="1" lang="ja-JP" altLang="en-US" sz="1100"/>
            <a:t>時間後</a:t>
          </a:r>
          <a:r>
            <a:rPr kumimoji="1" lang="en-US" altLang="ja-JP" sz="1100"/>
            <a:t>...</a:t>
          </a:r>
          <a:endParaRPr kumimoji="1" lang="ja-JP" altLang="en-US" sz="1100"/>
        </a:p>
      </xdr:txBody>
    </xdr:sp>
    <xdr:clientData/>
  </xdr:twoCellAnchor>
  <xdr:twoCellAnchor>
    <xdr:from>
      <xdr:col>2</xdr:col>
      <xdr:colOff>10584</xdr:colOff>
      <xdr:row>94</xdr:row>
      <xdr:rowOff>0</xdr:rowOff>
    </xdr:from>
    <xdr:to>
      <xdr:col>6</xdr:col>
      <xdr:colOff>0</xdr:colOff>
      <xdr:row>96</xdr:row>
      <xdr:rowOff>74083</xdr:rowOff>
    </xdr:to>
    <xdr:sp macro="" textlink="">
      <xdr:nvSpPr>
        <xdr:cNvPr id="7" name="右矢印 6"/>
        <xdr:cNvSpPr/>
      </xdr:nvSpPr>
      <xdr:spPr>
        <a:xfrm>
          <a:off x="1382184" y="4972050"/>
          <a:ext cx="3389841" cy="416983"/>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t1</a:t>
          </a:r>
          <a:r>
            <a:rPr kumimoji="1" lang="ja-JP" altLang="en-US" sz="1100"/>
            <a:t>時間後</a:t>
          </a:r>
          <a:r>
            <a:rPr kumimoji="1" lang="en-US" altLang="ja-JP" sz="1100"/>
            <a:t>...</a:t>
          </a:r>
        </a:p>
      </xdr:txBody>
    </xdr:sp>
    <xdr:clientData/>
  </xdr:twoCellAnchor>
  <xdr:twoCellAnchor>
    <xdr:from>
      <xdr:col>9</xdr:col>
      <xdr:colOff>21171</xdr:colOff>
      <xdr:row>79</xdr:row>
      <xdr:rowOff>95255</xdr:rowOff>
    </xdr:from>
    <xdr:to>
      <xdr:col>14</xdr:col>
      <xdr:colOff>339034</xdr:colOff>
      <xdr:row>96</xdr:row>
      <xdr:rowOff>10588</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338666</xdr:colOff>
      <xdr:row>101</xdr:row>
      <xdr:rowOff>0</xdr:rowOff>
    </xdr:from>
    <xdr:to>
      <xdr:col>1</xdr:col>
      <xdr:colOff>338666</xdr:colOff>
      <xdr:row>103</xdr:row>
      <xdr:rowOff>0</xdr:rowOff>
    </xdr:to>
    <xdr:cxnSp macro="">
      <xdr:nvCxnSpPr>
        <xdr:cNvPr id="9" name="直線矢印コネクタ 8"/>
        <xdr:cNvCxnSpPr/>
      </xdr:nvCxnSpPr>
      <xdr:spPr>
        <a:xfrm>
          <a:off x="1024466" y="6172200"/>
          <a:ext cx="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618066</xdr:colOff>
      <xdr:row>90</xdr:row>
      <xdr:rowOff>14817</xdr:rowOff>
    </xdr:from>
    <xdr:to>
      <xdr:col>0</xdr:col>
      <xdr:colOff>618066</xdr:colOff>
      <xdr:row>100</xdr:row>
      <xdr:rowOff>158750</xdr:rowOff>
    </xdr:to>
    <xdr:cxnSp macro="">
      <xdr:nvCxnSpPr>
        <xdr:cNvPr id="10" name="直線矢印コネクタ 9"/>
        <xdr:cNvCxnSpPr/>
      </xdr:nvCxnSpPr>
      <xdr:spPr>
        <a:xfrm>
          <a:off x="618066" y="4301067"/>
          <a:ext cx="0" cy="18584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92075</xdr:colOff>
      <xdr:row>1</xdr:row>
      <xdr:rowOff>2118</xdr:rowOff>
    </xdr:from>
    <xdr:to>
      <xdr:col>12</xdr:col>
      <xdr:colOff>63500</xdr:colOff>
      <xdr:row>7</xdr:row>
      <xdr:rowOff>148166</xdr:rowOff>
    </xdr:to>
    <xdr:sp macro="" textlink="">
      <xdr:nvSpPr>
        <xdr:cNvPr id="22" name="テキスト ボックス 21"/>
        <xdr:cNvSpPr txBox="1"/>
      </xdr:nvSpPr>
      <xdr:spPr>
        <a:xfrm>
          <a:off x="92075" y="245535"/>
          <a:ext cx="8215842" cy="1162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t>100cm</a:t>
          </a:r>
          <a:r>
            <a:rPr kumimoji="1" lang="ja-JP" altLang="en-US" sz="1200"/>
            <a:t>の飽和土カラム上端に、</a:t>
          </a:r>
          <a:r>
            <a:rPr kumimoji="1" lang="en-US" altLang="ja-JP" sz="1200" i="1"/>
            <a:t>t</a:t>
          </a:r>
          <a:r>
            <a:rPr kumimoji="1" lang="ja-JP" altLang="en-US" sz="1200" baseline="0"/>
            <a:t> </a:t>
          </a:r>
          <a:r>
            <a:rPr kumimoji="1" lang="en-US" altLang="ja-JP" sz="1200"/>
            <a:t>= 0</a:t>
          </a:r>
          <a:r>
            <a:rPr kumimoji="1" lang="ja-JP" altLang="en-US" sz="1200"/>
            <a:t>において</a:t>
          </a:r>
          <a:r>
            <a:rPr kumimoji="1" lang="en-US" altLang="ja-JP" sz="1200"/>
            <a:t>20 cm</a:t>
          </a:r>
          <a:r>
            <a:rPr kumimoji="1" lang="ja-JP" altLang="en-US" sz="1200"/>
            <a:t>の湛水を与えた変水頭透水試験装置がある。湛水の水位は</a:t>
          </a:r>
          <a:r>
            <a:rPr kumimoji="1" lang="en-US" altLang="ja-JP" sz="1200"/>
            <a:t>1</a:t>
          </a:r>
          <a:r>
            <a:rPr kumimoji="1" lang="ja-JP" altLang="en-US" sz="1200"/>
            <a:t>時間で</a:t>
          </a:r>
          <a:r>
            <a:rPr kumimoji="1" lang="en-US" altLang="ja-JP" sz="1200"/>
            <a:t>0 cm</a:t>
          </a:r>
          <a:r>
            <a:rPr kumimoji="1" lang="ja-JP" altLang="en-US" sz="1200"/>
            <a:t>まで低下した。カラム上端の湛水は、土カラムと同じ断面積の容器に保持されている。</a:t>
          </a:r>
          <a:endParaRPr kumimoji="1" lang="en-US" altLang="ja-JP" sz="1200"/>
        </a:p>
        <a:p>
          <a:pPr algn="l"/>
          <a:r>
            <a:rPr kumimoji="1" lang="en-US" altLang="ja-JP" sz="1200"/>
            <a:t>(a) </a:t>
          </a:r>
          <a:r>
            <a:rPr kumimoji="1" lang="ja-JP" altLang="en-US" sz="1200"/>
            <a:t>このカラムの飽和透水係数</a:t>
          </a:r>
          <a:r>
            <a:rPr kumimoji="1" lang="en-US" altLang="ja-JP" sz="1200"/>
            <a:t>Ks</a:t>
          </a:r>
          <a:r>
            <a:rPr kumimoji="1" lang="ja-JP" altLang="en-US" sz="1200"/>
            <a:t>を計算しなさい。</a:t>
          </a:r>
          <a:endParaRPr kumimoji="1" lang="en-US" altLang="ja-JP" sz="1200"/>
        </a:p>
        <a:p>
          <a:pPr algn="l"/>
          <a:r>
            <a:rPr kumimoji="1" lang="en-US" altLang="ja-JP" sz="1200"/>
            <a:t>(b)</a:t>
          </a:r>
          <a:r>
            <a:rPr kumimoji="1" lang="en-US" altLang="ja-JP" sz="1200" baseline="0"/>
            <a:t> </a:t>
          </a:r>
          <a:r>
            <a:rPr kumimoji="1" lang="ja-JP" altLang="en-US" sz="1200"/>
            <a:t>実験中の水分フラックスを</a:t>
          </a:r>
          <a:r>
            <a:rPr kumimoji="1" lang="en-US" altLang="ja-JP" sz="1200" i="1"/>
            <a:t>J</a:t>
          </a:r>
          <a:r>
            <a:rPr kumimoji="1" lang="en-US" altLang="ja-JP" sz="1200" baseline="-25000"/>
            <a:t>w</a:t>
          </a:r>
          <a:r>
            <a:rPr kumimoji="1" lang="en-US" altLang="ja-JP" sz="1200"/>
            <a:t> =</a:t>
          </a:r>
          <a:r>
            <a:rPr kumimoji="1" lang="en-US" altLang="ja-JP" sz="1200" baseline="0"/>
            <a:t> </a:t>
          </a:r>
          <a:r>
            <a:rPr kumimoji="1" lang="en-US" altLang="ja-JP" sz="1200"/>
            <a:t>20 cm/h</a:t>
          </a:r>
          <a:r>
            <a:rPr kumimoji="1" lang="ja-JP" altLang="en-US" sz="1200"/>
            <a:t>で一定、湛水深も</a:t>
          </a:r>
          <a:r>
            <a:rPr kumimoji="1" lang="en-US" altLang="ja-JP" sz="1200"/>
            <a:t>10 cm</a:t>
          </a:r>
          <a:r>
            <a:rPr kumimoji="1" lang="ja-JP" altLang="en-US" sz="1200"/>
            <a:t>で一定であったと近似して、</a:t>
          </a:r>
          <a:r>
            <a:rPr kumimoji="1" lang="en-US" altLang="ja-JP" sz="1200" i="1"/>
            <a:t>K</a:t>
          </a:r>
          <a:r>
            <a:rPr kumimoji="1" lang="en-US" altLang="ja-JP" sz="1200" baseline="-25000"/>
            <a:t>s</a:t>
          </a:r>
          <a:r>
            <a:rPr kumimoji="1" lang="ja-JP" altLang="en-US" sz="1200"/>
            <a:t>を求めなさい。</a:t>
          </a:r>
          <a:endParaRPr kumimoji="1" lang="en-US" altLang="ja-JP" sz="1200"/>
        </a:p>
        <a:p>
          <a:pPr algn="l"/>
          <a:r>
            <a:rPr kumimoji="1" lang="en-US" altLang="ja-JP" sz="1200"/>
            <a:t>(c) </a:t>
          </a:r>
          <a:r>
            <a:rPr kumimoji="1" lang="ja-JP" altLang="en-US" sz="1200"/>
            <a:t>近似を用いてダルシー則で計算した結果と、厳密な解を比較して、誤差を計算しなさい。</a:t>
          </a:r>
          <a:endParaRPr kumimoji="1" lang="en-US" altLang="ja-JP" sz="1200"/>
        </a:p>
      </xdr:txBody>
    </xdr:sp>
    <xdr:clientData/>
  </xdr:twoCellAnchor>
  <xdr:twoCellAnchor>
    <xdr:from>
      <xdr:col>0</xdr:col>
      <xdr:colOff>92075</xdr:colOff>
      <xdr:row>34</xdr:row>
      <xdr:rowOff>2119</xdr:rowOff>
    </xdr:from>
    <xdr:to>
      <xdr:col>12</xdr:col>
      <xdr:colOff>63500</xdr:colOff>
      <xdr:row>35</xdr:row>
      <xdr:rowOff>116418</xdr:rowOff>
    </xdr:to>
    <xdr:sp macro="" textlink="">
      <xdr:nvSpPr>
        <xdr:cNvPr id="23" name="テキスト ボックス 22"/>
        <xdr:cNvSpPr txBox="1"/>
      </xdr:nvSpPr>
      <xdr:spPr>
        <a:xfrm>
          <a:off x="92075" y="6828369"/>
          <a:ext cx="8215842" cy="28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問題</a:t>
          </a:r>
          <a:r>
            <a:rPr kumimoji="1" lang="en-US" altLang="ja-JP" sz="1200"/>
            <a:t>3.11</a:t>
          </a:r>
          <a:r>
            <a:rPr kumimoji="1" lang="ja-JP" altLang="en-US" sz="1200"/>
            <a:t>を長さ</a:t>
          </a:r>
          <a:r>
            <a:rPr kumimoji="1" lang="en-US" altLang="ja-JP" sz="1200"/>
            <a:t>5</a:t>
          </a:r>
          <a:r>
            <a:rPr kumimoji="1" lang="ja-JP" altLang="en-US" sz="1200" baseline="0"/>
            <a:t> </a:t>
          </a:r>
          <a:r>
            <a:rPr kumimoji="1" lang="en-US" altLang="ja-JP" sz="1200"/>
            <a:t>cm</a:t>
          </a:r>
          <a:r>
            <a:rPr kumimoji="1" lang="ja-JP" altLang="en-US" sz="1200"/>
            <a:t>の土カラムに対して繰り返しなさい。結果の違いについて理由を説明しなさい。</a:t>
          </a:r>
          <a:endParaRPr kumimoji="1" lang="en-US" altLang="ja-JP" sz="1200"/>
        </a:p>
      </xdr:txBody>
    </xdr:sp>
    <xdr:clientData/>
  </xdr:twoCellAnchor>
  <xdr:twoCellAnchor>
    <xdr:from>
      <xdr:col>15</xdr:col>
      <xdr:colOff>74084</xdr:colOff>
      <xdr:row>41</xdr:row>
      <xdr:rowOff>127000</xdr:rowOff>
    </xdr:from>
    <xdr:to>
      <xdr:col>21</xdr:col>
      <xdr:colOff>338666</xdr:colOff>
      <xdr:row>60</xdr:row>
      <xdr:rowOff>26459</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244475</xdr:colOff>
      <xdr:row>29</xdr:row>
      <xdr:rowOff>70907</xdr:rowOff>
    </xdr:from>
    <xdr:to>
      <xdr:col>14</xdr:col>
      <xdr:colOff>301626</xdr:colOff>
      <xdr:row>50</xdr:row>
      <xdr:rowOff>23282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92075</xdr:colOff>
      <xdr:row>1</xdr:row>
      <xdr:rowOff>2118</xdr:rowOff>
    </xdr:from>
    <xdr:to>
      <xdr:col>12</xdr:col>
      <xdr:colOff>63500</xdr:colOff>
      <xdr:row>4</xdr:row>
      <xdr:rowOff>19050</xdr:rowOff>
    </xdr:to>
    <xdr:sp macro="" textlink="">
      <xdr:nvSpPr>
        <xdr:cNvPr id="3" name="テキスト ボックス 2"/>
        <xdr:cNvSpPr txBox="1"/>
      </xdr:nvSpPr>
      <xdr:spPr>
        <a:xfrm>
          <a:off x="92075" y="249768"/>
          <a:ext cx="8201025" cy="531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飽和透水係数</a:t>
          </a:r>
          <a:r>
            <a:rPr kumimoji="1" lang="en-US" altLang="ja-JP" sz="1200" i="1"/>
            <a:t>K</a:t>
          </a:r>
          <a:r>
            <a:rPr kumimoji="1" lang="en-US" altLang="ja-JP" sz="1200" baseline="-25000"/>
            <a:t>s</a:t>
          </a:r>
          <a:r>
            <a:rPr kumimoji="1" lang="en-US" altLang="ja-JP" sz="1200"/>
            <a:t>(</a:t>
          </a:r>
          <a:r>
            <a:rPr kumimoji="1" lang="en-US" altLang="ja-JP" sz="1200" i="1"/>
            <a:t>z</a:t>
          </a:r>
          <a:r>
            <a:rPr kumimoji="1" lang="en-US" altLang="ja-JP" sz="1200"/>
            <a:t>)</a:t>
          </a:r>
          <a:r>
            <a:rPr kumimoji="1" lang="ja-JP" altLang="en-US" sz="1200"/>
            <a:t>が深さ方向に変化するとき、長さ</a:t>
          </a:r>
          <a:r>
            <a:rPr kumimoji="1" lang="en-US" altLang="ja-JP" sz="1200" i="1"/>
            <a:t>L</a:t>
          </a:r>
          <a:r>
            <a:rPr kumimoji="1" lang="ja-JP" altLang="en-US" sz="1200"/>
            <a:t>の飽和土カラムの有効透水係数を求めなさい。</a:t>
          </a:r>
          <a:endParaRPr kumimoji="1" lang="en-US" altLang="ja-JP" sz="1200"/>
        </a:p>
        <a:p>
          <a:pPr algn="l"/>
          <a:r>
            <a:rPr kumimoji="1" lang="ja-JP" altLang="en-US" sz="1200"/>
            <a:t>また、</a:t>
          </a:r>
          <a:r>
            <a:rPr kumimoji="1" lang="en-US" altLang="ja-JP" sz="1200"/>
            <a:t>(3.26)</a:t>
          </a:r>
          <a:r>
            <a:rPr kumimoji="1" lang="ja-JP" altLang="en-US" sz="1200"/>
            <a:t>式が、ここで導いた関係の特別な場合であることを示しなさい。</a:t>
          </a:r>
          <a:endParaRPr kumimoji="1" lang="en-US" altLang="ja-JP" sz="1200"/>
        </a:p>
      </xdr:txBody>
    </xdr:sp>
    <xdr:clientData/>
  </xdr:twoCellAnchor>
  <xdr:twoCellAnchor editAs="oneCell">
    <xdr:from>
      <xdr:col>7</xdr:col>
      <xdr:colOff>227540</xdr:colOff>
      <xdr:row>5</xdr:row>
      <xdr:rowOff>38101</xdr:rowOff>
    </xdr:from>
    <xdr:to>
      <xdr:col>14</xdr:col>
      <xdr:colOff>608539</xdr:colOff>
      <xdr:row>22</xdr:row>
      <xdr:rowOff>60235</xdr:rowOff>
    </xdr:to>
    <xdr:pic>
      <xdr:nvPicPr>
        <xdr:cNvPr id="20504" name="Picture 24"/>
        <xdr:cNvPicPr>
          <a:picLocks noChangeAspect="1" noChangeArrowheads="1"/>
        </xdr:cNvPicPr>
      </xdr:nvPicPr>
      <xdr:blipFill>
        <a:blip xmlns:r="http://schemas.openxmlformats.org/officeDocument/2006/relationships" r:embed="rId2" cstate="print"/>
        <a:srcRect/>
        <a:stretch>
          <a:fillRect/>
        </a:stretch>
      </xdr:blipFill>
      <xdr:spPr bwMode="auto">
        <a:xfrm>
          <a:off x="5042957" y="958851"/>
          <a:ext cx="5196415" cy="2900801"/>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17</xdr:row>
      <xdr:rowOff>76201</xdr:rowOff>
    </xdr:from>
    <xdr:to>
      <xdr:col>0</xdr:col>
      <xdr:colOff>647700</xdr:colOff>
      <xdr:row>21</xdr:row>
      <xdr:rowOff>76200</xdr:rowOff>
    </xdr:to>
    <xdr:sp macro="" textlink="">
      <xdr:nvSpPr>
        <xdr:cNvPr id="5" name="角丸四角形吹き出し 4"/>
        <xdr:cNvSpPr/>
      </xdr:nvSpPr>
      <xdr:spPr>
        <a:xfrm>
          <a:off x="38100" y="2762251"/>
          <a:ext cx="609600" cy="685799"/>
        </a:xfrm>
        <a:prstGeom prst="wedgeRoundRectCallout">
          <a:avLst>
            <a:gd name="adj1" fmla="val 80923"/>
            <a:gd name="adj2" fmla="val -550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z</a:t>
          </a:r>
          <a:r>
            <a:rPr kumimoji="1" lang="ja-JP" altLang="en-US" sz="1100"/>
            <a:t>₁</a:t>
          </a:r>
          <a:r>
            <a:rPr kumimoji="1" lang="en-US" altLang="ja-JP" sz="1100"/>
            <a:t>=0</a:t>
          </a:r>
        </a:p>
        <a:p>
          <a:pPr algn="l"/>
          <a:r>
            <a:rPr kumimoji="1" lang="en-US" altLang="ja-JP" sz="1100"/>
            <a:t>p</a:t>
          </a:r>
          <a:r>
            <a:rPr kumimoji="1" lang="ja-JP" altLang="en-US" sz="1100"/>
            <a:t>₁</a:t>
          </a:r>
          <a:r>
            <a:rPr kumimoji="1" lang="en-US" altLang="ja-JP" sz="1100"/>
            <a:t>=0</a:t>
          </a:r>
        </a:p>
        <a:p>
          <a:pPr algn="l"/>
          <a:r>
            <a:rPr kumimoji="1" lang="en-US" altLang="ja-JP" sz="1100"/>
            <a:t>H</a:t>
          </a:r>
          <a:r>
            <a:rPr kumimoji="1" lang="ja-JP" altLang="en-US" sz="1100"/>
            <a:t>₁</a:t>
          </a:r>
          <a:r>
            <a:rPr kumimoji="1" lang="en-US" altLang="ja-JP" sz="1100"/>
            <a:t>=0</a:t>
          </a:r>
        </a:p>
      </xdr:txBody>
    </xdr:sp>
    <xdr:clientData/>
  </xdr:twoCellAnchor>
  <xdr:twoCellAnchor>
    <xdr:from>
      <xdr:col>1</xdr:col>
      <xdr:colOff>28575</xdr:colOff>
      <xdr:row>17</xdr:row>
      <xdr:rowOff>47625</xdr:rowOff>
    </xdr:from>
    <xdr:to>
      <xdr:col>1</xdr:col>
      <xdr:colOff>676275</xdr:colOff>
      <xdr:row>20</xdr:row>
      <xdr:rowOff>47625</xdr:rowOff>
    </xdr:to>
    <xdr:sp macro="" textlink="">
      <xdr:nvSpPr>
        <xdr:cNvPr id="6" name="下矢印 5"/>
        <xdr:cNvSpPr/>
      </xdr:nvSpPr>
      <xdr:spPr>
        <a:xfrm>
          <a:off x="1400175" y="2447925"/>
          <a:ext cx="647700" cy="514350"/>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J</a:t>
          </a:r>
          <a:r>
            <a:rPr kumimoji="1" lang="en-US" altLang="ja-JP" sz="800"/>
            <a:t>w</a:t>
          </a:r>
          <a:endParaRPr kumimoji="1" lang="ja-JP" altLang="en-US" sz="800"/>
        </a:p>
      </xdr:txBody>
    </xdr:sp>
    <xdr:clientData/>
  </xdr:twoCellAnchor>
  <xdr:twoCellAnchor>
    <xdr:from>
      <xdr:col>7</xdr:col>
      <xdr:colOff>61382</xdr:colOff>
      <xdr:row>20</xdr:row>
      <xdr:rowOff>20107</xdr:rowOff>
    </xdr:from>
    <xdr:to>
      <xdr:col>12</xdr:col>
      <xdr:colOff>128057</xdr:colOff>
      <xdr:row>35</xdr:row>
      <xdr:rowOff>126999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xdr:colOff>
      <xdr:row>1</xdr:row>
      <xdr:rowOff>3</xdr:rowOff>
    </xdr:from>
    <xdr:to>
      <xdr:col>11</xdr:col>
      <xdr:colOff>560921</xdr:colOff>
      <xdr:row>7</xdr:row>
      <xdr:rowOff>57150</xdr:rowOff>
    </xdr:to>
    <xdr:sp macro="" textlink="">
      <xdr:nvSpPr>
        <xdr:cNvPr id="8" name="テキスト ボックス 7"/>
        <xdr:cNvSpPr txBox="1"/>
      </xdr:nvSpPr>
      <xdr:spPr>
        <a:xfrm>
          <a:off x="8" y="238128"/>
          <a:ext cx="8104713" cy="1085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上層が</a:t>
          </a:r>
          <a:r>
            <a:rPr kumimoji="1" lang="en-US" altLang="ja-JP" sz="1200" i="1"/>
            <a:t>K</a:t>
          </a:r>
          <a:r>
            <a:rPr kumimoji="1" lang="en-US" altLang="ja-JP" sz="1200" baseline="-25000"/>
            <a:t>s</a:t>
          </a:r>
          <a:r>
            <a:rPr kumimoji="1" lang="en-US" altLang="ja-JP" sz="1200"/>
            <a:t> = 5</a:t>
          </a:r>
          <a:r>
            <a:rPr kumimoji="1" lang="ja-JP" altLang="en-US" sz="1200" baseline="0"/>
            <a:t> </a:t>
          </a:r>
          <a:r>
            <a:rPr kumimoji="1" lang="en-US" altLang="ja-JP" sz="1200"/>
            <a:t>cm h</a:t>
          </a:r>
          <a:r>
            <a:rPr kumimoji="1" lang="en-US" altLang="ja-JP" sz="1200" baseline="30000"/>
            <a:t>-1</a:t>
          </a:r>
          <a:r>
            <a:rPr kumimoji="1" lang="ja-JP" altLang="en-US" sz="1200"/>
            <a:t>のローム、下層が</a:t>
          </a:r>
          <a:r>
            <a:rPr kumimoji="1" lang="en-US" altLang="ja-JP" sz="1200" i="1"/>
            <a:t>K</a:t>
          </a:r>
          <a:r>
            <a:rPr kumimoji="1" lang="en-US" altLang="ja-JP" sz="1200" baseline="-25000"/>
            <a:t>s</a:t>
          </a:r>
          <a:r>
            <a:rPr kumimoji="1" lang="en-US" altLang="ja-JP" sz="1200"/>
            <a:t> = 10 cm h</a:t>
          </a:r>
          <a:r>
            <a:rPr kumimoji="1" lang="en-US" altLang="ja-JP" sz="1200" baseline="30000"/>
            <a:t>-1</a:t>
          </a:r>
          <a:r>
            <a:rPr kumimoji="1" lang="ja-JP" altLang="en-US" sz="1200"/>
            <a:t>の砂、厚さがそれぞれ</a:t>
          </a:r>
          <a:r>
            <a:rPr kumimoji="1" lang="en-US" altLang="ja-JP" sz="1200"/>
            <a:t>10 cm</a:t>
          </a:r>
          <a:r>
            <a:rPr kumimoji="1" lang="ja-JP" altLang="en-US" sz="1200"/>
            <a:t>の</a:t>
          </a:r>
          <a:r>
            <a:rPr kumimoji="1" lang="en-US" altLang="ja-JP" sz="1200"/>
            <a:t>2</a:t>
          </a:r>
          <a:r>
            <a:rPr kumimoji="1" lang="ja-JP" altLang="en-US" sz="1200"/>
            <a:t>成層土からなる水で飽和した土カラム</a:t>
          </a:r>
          <a:r>
            <a:rPr kumimoji="1" lang="en-US" altLang="ja-JP" sz="1200"/>
            <a:t>(P.113 </a:t>
          </a:r>
          <a:r>
            <a:rPr kumimoji="1" lang="ja-JP" altLang="en-US" sz="1200"/>
            <a:t>図</a:t>
          </a:r>
          <a:r>
            <a:rPr kumimoji="1" lang="en-US" altLang="ja-JP" sz="1200"/>
            <a:t>3.22)</a:t>
          </a:r>
          <a:r>
            <a:rPr kumimoji="1" lang="ja-JP" altLang="en-US" sz="1200"/>
            <a:t>がある。。カラム下端は大気に開放されている</a:t>
          </a:r>
          <a:r>
            <a:rPr kumimoji="1" lang="en-US" altLang="ja-JP" sz="1200"/>
            <a:t>(</a:t>
          </a:r>
          <a:r>
            <a:rPr kumimoji="1" lang="en-US" altLang="ja-JP" sz="1200" i="1"/>
            <a:t>p</a:t>
          </a:r>
          <a:r>
            <a:rPr kumimoji="1" lang="en-US" altLang="ja-JP" sz="1200"/>
            <a:t> = 0)</a:t>
          </a:r>
          <a:r>
            <a:rPr kumimoji="1" lang="ja-JP" altLang="en-US" sz="1200"/>
            <a:t>。</a:t>
          </a:r>
          <a:r>
            <a:rPr kumimoji="1" lang="en-US" altLang="ja-JP" sz="1200" i="1"/>
            <a:t>T</a:t>
          </a:r>
          <a:r>
            <a:rPr kumimoji="1" lang="en-US" altLang="ja-JP" sz="1200"/>
            <a:t> = 0</a:t>
          </a:r>
          <a:r>
            <a:rPr kumimoji="1" lang="ja-JP" altLang="en-US" sz="1200"/>
            <a:t>に、カラム上部に水深</a:t>
          </a:r>
          <a:r>
            <a:rPr kumimoji="1" lang="en-US" altLang="ja-JP" sz="1200" i="1"/>
            <a:t>d</a:t>
          </a:r>
          <a:r>
            <a:rPr kumimoji="1" lang="en-US" altLang="ja-JP" sz="1200"/>
            <a:t> = 10 cm</a:t>
          </a:r>
          <a:r>
            <a:rPr kumimoji="1" lang="ja-JP" altLang="en-US" sz="1200"/>
            <a:t>の湛水がある。</a:t>
          </a:r>
          <a:endParaRPr kumimoji="1" lang="en-US" altLang="ja-JP" sz="1200"/>
        </a:p>
        <a:p>
          <a:pPr algn="l"/>
          <a:r>
            <a:rPr kumimoji="1" lang="en-US" altLang="ja-JP" sz="1200"/>
            <a:t>(a)</a:t>
          </a:r>
          <a:r>
            <a:rPr kumimoji="1" lang="ja-JP" altLang="en-US" sz="1200"/>
            <a:t>定常状態を仮定し、カラムを流れる水分フラックスを計算しなさい。</a:t>
          </a:r>
          <a:endParaRPr kumimoji="1" lang="en-US" altLang="ja-JP" sz="1200"/>
        </a:p>
        <a:p>
          <a:pPr algn="l"/>
          <a:r>
            <a:rPr kumimoji="1" lang="en-US" altLang="ja-JP" sz="1200"/>
            <a:t>(b)</a:t>
          </a:r>
          <a:r>
            <a:rPr kumimoji="1" lang="ja-JP" altLang="en-US" sz="1200"/>
            <a:t>そのときの砂とロームの境界</a:t>
          </a:r>
          <a:r>
            <a:rPr kumimoji="1" lang="en-US" altLang="ja-JP" sz="1200"/>
            <a:t>(A</a:t>
          </a:r>
          <a:r>
            <a:rPr kumimoji="1" lang="ja-JP" altLang="en-US" sz="1200"/>
            <a:t>点</a:t>
          </a:r>
          <a:r>
            <a:rPr kumimoji="1" lang="en-US" altLang="ja-JP" sz="1200"/>
            <a:t>)</a:t>
          </a:r>
          <a:r>
            <a:rPr kumimoji="1" lang="ja-JP" altLang="en-US" sz="1200"/>
            <a:t>における水の圧力を計算しなさい。</a:t>
          </a:r>
          <a:endParaRPr kumimoji="1" lang="en-US" altLang="ja-JP" sz="1200"/>
        </a:p>
        <a:p>
          <a:pPr algn="l"/>
          <a:r>
            <a:rPr kumimoji="1" lang="en-US" altLang="ja-JP" sz="1200"/>
            <a:t>(c)</a:t>
          </a:r>
          <a:r>
            <a:rPr kumimoji="1" lang="ja-JP" altLang="en-US" sz="1200"/>
            <a:t>このカラムが変水頭透水試験装置であるとすると、湛水深</a:t>
          </a:r>
          <a:r>
            <a:rPr kumimoji="1" lang="en-US" altLang="ja-JP" sz="1200"/>
            <a:t>d</a:t>
          </a:r>
          <a:r>
            <a:rPr kumimoji="1" lang="ja-JP" altLang="en-US" sz="1200"/>
            <a:t>が</a:t>
          </a:r>
          <a:r>
            <a:rPr kumimoji="1" lang="en-US" altLang="ja-JP" sz="1200"/>
            <a:t>10cm</a:t>
          </a:r>
          <a:r>
            <a:rPr kumimoji="1" lang="ja-JP" altLang="en-US" sz="1200"/>
            <a:t>から</a:t>
          </a:r>
          <a:r>
            <a:rPr kumimoji="1" lang="en-US" altLang="ja-JP" sz="1200"/>
            <a:t>0cm</a:t>
          </a:r>
          <a:r>
            <a:rPr kumimoji="1" lang="ja-JP" altLang="en-US" sz="1200"/>
            <a:t>になったとき何が生じるか考察しなさい。</a:t>
          </a:r>
          <a:endParaRPr kumimoji="1" lang="en-US" altLang="ja-JP" sz="1200"/>
        </a:p>
        <a:p>
          <a:pPr algn="l"/>
          <a:endParaRPr kumimoji="1" lang="en-US" altLang="ja-JP" sz="1200"/>
        </a:p>
        <a:p>
          <a:pPr algn="l"/>
          <a:endParaRPr kumimoji="1" lang="en-US" altLang="ja-JP" sz="1200"/>
        </a:p>
        <a:p>
          <a:pPr algn="l"/>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xdr:colOff>
      <xdr:row>1</xdr:row>
      <xdr:rowOff>4</xdr:rowOff>
    </xdr:from>
    <xdr:to>
      <xdr:col>11</xdr:col>
      <xdr:colOff>560921</xdr:colOff>
      <xdr:row>5</xdr:row>
      <xdr:rowOff>28576</xdr:rowOff>
    </xdr:to>
    <xdr:sp macro="" textlink="">
      <xdr:nvSpPr>
        <xdr:cNvPr id="3" name="テキスト ボックス 2"/>
        <xdr:cNvSpPr txBox="1"/>
      </xdr:nvSpPr>
      <xdr:spPr>
        <a:xfrm>
          <a:off x="8" y="238129"/>
          <a:ext cx="8104713" cy="71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上層が</a:t>
          </a:r>
          <a:r>
            <a:rPr kumimoji="1" lang="en-US" altLang="ja-JP" sz="1200"/>
            <a:t>50 cm</a:t>
          </a:r>
          <a:r>
            <a:rPr kumimoji="1" lang="ja-JP" altLang="en-US" sz="1200"/>
            <a:t>の砂、下層が</a:t>
          </a:r>
          <a:r>
            <a:rPr kumimoji="1" lang="en-US" altLang="ja-JP" sz="1200"/>
            <a:t>50 cm</a:t>
          </a:r>
          <a:r>
            <a:rPr kumimoji="1" lang="ja-JP" altLang="en-US" sz="1200"/>
            <a:t>の粘土の成層土カラムがある（図</a:t>
          </a:r>
          <a:r>
            <a:rPr kumimoji="1" lang="en-US" altLang="ja-JP" sz="1200"/>
            <a:t>3.23</a:t>
          </a:r>
          <a:r>
            <a:rPr kumimoji="1" lang="ja-JP" altLang="en-US" sz="1200"/>
            <a:t>）。</a:t>
          </a:r>
          <a:r>
            <a:rPr kumimoji="1" lang="ja-JP" altLang="en-US" sz="1200" baseline="0"/>
            <a:t> </a:t>
          </a:r>
          <a:r>
            <a:rPr kumimoji="1" lang="en-US" altLang="ja-JP" sz="1200" i="1" baseline="0"/>
            <a:t>z</a:t>
          </a:r>
          <a:r>
            <a:rPr kumimoji="1" lang="en-US" altLang="ja-JP" sz="1200" baseline="0"/>
            <a:t> </a:t>
          </a:r>
          <a:r>
            <a:rPr kumimoji="1" lang="en-US" altLang="ja-JP" sz="1200"/>
            <a:t>= 50 cm</a:t>
          </a:r>
          <a:r>
            <a:rPr kumimoji="1" lang="ja-JP" altLang="en-US" sz="1200"/>
            <a:t>の境界におけるエゾメーターは、</a:t>
          </a:r>
          <a:endParaRPr kumimoji="1" lang="en-US" altLang="ja-JP" sz="1200"/>
        </a:p>
        <a:p>
          <a:pPr algn="l"/>
          <a:r>
            <a:rPr kumimoji="1" lang="ja-JP" altLang="en-US" sz="1200"/>
            <a:t>水頭 </a:t>
          </a:r>
          <a:r>
            <a:rPr kumimoji="1" lang="en-US" altLang="ja-JP" sz="1200" i="1"/>
            <a:t>p</a:t>
          </a:r>
          <a:r>
            <a:rPr kumimoji="1" lang="en-US" altLang="ja-JP" sz="1200"/>
            <a:t> = 50</a:t>
          </a:r>
          <a:r>
            <a:rPr kumimoji="1" lang="ja-JP" altLang="en-US" sz="1200"/>
            <a:t>を示す。カラムは飽和しており、上端は</a:t>
          </a:r>
          <a:r>
            <a:rPr kumimoji="1" lang="en-US" altLang="ja-JP" sz="1200"/>
            <a:t>20cm</a:t>
          </a:r>
          <a:r>
            <a:rPr kumimoji="1" lang="ja-JP" altLang="en-US" sz="1200"/>
            <a:t>の堪水、下端は大気に開放されている</a:t>
          </a:r>
          <a:r>
            <a:rPr kumimoji="1" lang="en-US" altLang="ja-JP" sz="1200"/>
            <a:t>(</a:t>
          </a:r>
          <a:r>
            <a:rPr kumimoji="1" lang="en-US" altLang="ja-JP" sz="1200" i="1"/>
            <a:t>p</a:t>
          </a:r>
          <a:r>
            <a:rPr kumimoji="1" lang="en-US" altLang="ja-JP" sz="1200"/>
            <a:t> = 0)</a:t>
          </a:r>
          <a:r>
            <a:rPr kumimoji="1" lang="ja-JP" altLang="en-US" sz="1200"/>
            <a:t>。定常水分フラックスの測定値は</a:t>
          </a:r>
          <a:r>
            <a:rPr kumimoji="1" lang="en-US" altLang="ja-JP" sz="1200" i="1"/>
            <a:t>J</a:t>
          </a:r>
          <a:r>
            <a:rPr kumimoji="1" lang="en-US" altLang="ja-JP" sz="1200" baseline="-25000"/>
            <a:t>w</a:t>
          </a:r>
          <a:r>
            <a:rPr kumimoji="1" lang="ja-JP" altLang="en-US" sz="1200"/>
            <a:t>＝ </a:t>
          </a:r>
          <a:r>
            <a:rPr kumimoji="1" lang="en-US" altLang="ja-JP" sz="1200"/>
            <a:t>-20 cm/h</a:t>
          </a:r>
          <a:r>
            <a:rPr kumimoji="1" lang="ja-JP" altLang="en-US" sz="1200"/>
            <a:t>である。砂質と粘土層の飽和透水係数、カラム全体の有効透水係数を計算しなさい。</a:t>
          </a:r>
          <a:endParaRPr kumimoji="1" lang="en-US" altLang="ja-JP" sz="1200"/>
        </a:p>
        <a:p>
          <a:pPr algn="l"/>
          <a:endParaRPr kumimoji="1" lang="en-US" altLang="ja-JP" sz="1200"/>
        </a:p>
        <a:p>
          <a:pPr algn="l"/>
          <a:endParaRPr kumimoji="1" lang="ja-JP" altLang="en-US" sz="1200"/>
        </a:p>
      </xdr:txBody>
    </xdr:sp>
    <xdr:clientData/>
  </xdr:twoCellAnchor>
  <xdr:twoCellAnchor>
    <xdr:from>
      <xdr:col>0</xdr:col>
      <xdr:colOff>209550</xdr:colOff>
      <xdr:row>20</xdr:row>
      <xdr:rowOff>161924</xdr:rowOff>
    </xdr:from>
    <xdr:to>
      <xdr:col>2</xdr:col>
      <xdr:colOff>295275</xdr:colOff>
      <xdr:row>24</xdr:row>
      <xdr:rowOff>28575</xdr:rowOff>
    </xdr:to>
    <xdr:sp macro="" textlink="">
      <xdr:nvSpPr>
        <xdr:cNvPr id="5" name="角丸四角形吹き出し 4"/>
        <xdr:cNvSpPr/>
      </xdr:nvSpPr>
      <xdr:spPr>
        <a:xfrm>
          <a:off x="209550" y="3886199"/>
          <a:ext cx="1457325" cy="666751"/>
        </a:xfrm>
        <a:prstGeom prst="wedgeRoundRectCallout">
          <a:avLst>
            <a:gd name="adj1" fmla="val 72200"/>
            <a:gd name="adj2" fmla="val -20261"/>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3</xdr:col>
      <xdr:colOff>276225</xdr:colOff>
      <xdr:row>22</xdr:row>
      <xdr:rowOff>38100</xdr:rowOff>
    </xdr:from>
    <xdr:to>
      <xdr:col>3</xdr:col>
      <xdr:colOff>409575</xdr:colOff>
      <xdr:row>24</xdr:row>
      <xdr:rowOff>142875</xdr:rowOff>
    </xdr:to>
    <xdr:sp macro="" textlink="">
      <xdr:nvSpPr>
        <xdr:cNvPr id="6" name="下矢印 5"/>
        <xdr:cNvSpPr/>
      </xdr:nvSpPr>
      <xdr:spPr>
        <a:xfrm>
          <a:off x="2333625" y="3314700"/>
          <a:ext cx="133350" cy="4476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228600</xdr:colOff>
      <xdr:row>12</xdr:row>
      <xdr:rowOff>0</xdr:rowOff>
    </xdr:from>
    <xdr:to>
      <xdr:col>4</xdr:col>
      <xdr:colOff>228600</xdr:colOff>
      <xdr:row>16</xdr:row>
      <xdr:rowOff>161925</xdr:rowOff>
    </xdr:to>
    <xdr:cxnSp macro="">
      <xdr:nvCxnSpPr>
        <xdr:cNvPr id="8" name="直線矢印コネクタ 7"/>
        <xdr:cNvCxnSpPr/>
      </xdr:nvCxnSpPr>
      <xdr:spPr>
        <a:xfrm>
          <a:off x="2971800" y="1952625"/>
          <a:ext cx="0" cy="84772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228600</xdr:colOff>
      <xdr:row>17</xdr:row>
      <xdr:rowOff>0</xdr:rowOff>
    </xdr:from>
    <xdr:to>
      <xdr:col>4</xdr:col>
      <xdr:colOff>228601</xdr:colOff>
      <xdr:row>21</xdr:row>
      <xdr:rowOff>133350</xdr:rowOff>
    </xdr:to>
    <xdr:cxnSp macro="">
      <xdr:nvCxnSpPr>
        <xdr:cNvPr id="9" name="直線矢印コネクタ 8"/>
        <xdr:cNvCxnSpPr/>
      </xdr:nvCxnSpPr>
      <xdr:spPr>
        <a:xfrm>
          <a:off x="2971800" y="2809875"/>
          <a:ext cx="1" cy="8191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219075</xdr:colOff>
      <xdr:row>10</xdr:row>
      <xdr:rowOff>28575</xdr:rowOff>
    </xdr:from>
    <xdr:to>
      <xdr:col>4</xdr:col>
      <xdr:colOff>219075</xdr:colOff>
      <xdr:row>11</xdr:row>
      <xdr:rowOff>152400</xdr:rowOff>
    </xdr:to>
    <xdr:cxnSp macro="">
      <xdr:nvCxnSpPr>
        <xdr:cNvPr id="10" name="直線矢印コネクタ 9"/>
        <xdr:cNvCxnSpPr/>
      </xdr:nvCxnSpPr>
      <xdr:spPr>
        <a:xfrm>
          <a:off x="2962275" y="1638300"/>
          <a:ext cx="0" cy="2952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209550</xdr:colOff>
      <xdr:row>15</xdr:row>
      <xdr:rowOff>0</xdr:rowOff>
    </xdr:from>
    <xdr:to>
      <xdr:col>2</xdr:col>
      <xdr:colOff>295275</xdr:colOff>
      <xdr:row>19</xdr:row>
      <xdr:rowOff>9525</xdr:rowOff>
    </xdr:to>
    <xdr:sp macro="" textlink="">
      <xdr:nvSpPr>
        <xdr:cNvPr id="11" name="角丸四角形吹き出し 10"/>
        <xdr:cNvSpPr/>
      </xdr:nvSpPr>
      <xdr:spPr>
        <a:xfrm>
          <a:off x="209550" y="2752725"/>
          <a:ext cx="1457325" cy="809625"/>
        </a:xfrm>
        <a:prstGeom prst="wedgeRoundRectCallout">
          <a:avLst>
            <a:gd name="adj1" fmla="val 72200"/>
            <a:gd name="adj2" fmla="val 17722"/>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0</xdr:col>
      <xdr:colOff>209550</xdr:colOff>
      <xdr:row>10</xdr:row>
      <xdr:rowOff>0</xdr:rowOff>
    </xdr:from>
    <xdr:to>
      <xdr:col>2</xdr:col>
      <xdr:colOff>295275</xdr:colOff>
      <xdr:row>13</xdr:row>
      <xdr:rowOff>9525</xdr:rowOff>
    </xdr:to>
    <xdr:sp macro="" textlink="">
      <xdr:nvSpPr>
        <xdr:cNvPr id="12" name="角丸四角形吹き出し 11"/>
        <xdr:cNvSpPr/>
      </xdr:nvSpPr>
      <xdr:spPr>
        <a:xfrm>
          <a:off x="209550" y="1781175"/>
          <a:ext cx="1457325" cy="600075"/>
        </a:xfrm>
        <a:prstGeom prst="wedgeRoundRectCallout">
          <a:avLst>
            <a:gd name="adj1" fmla="val 73507"/>
            <a:gd name="adj2" fmla="val 15294"/>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10</xdr:col>
      <xdr:colOff>0</xdr:colOff>
      <xdr:row>9</xdr:row>
      <xdr:rowOff>0</xdr:rowOff>
    </xdr:from>
    <xdr:to>
      <xdr:col>15</xdr:col>
      <xdr:colOff>66675</xdr:colOff>
      <xdr:row>24</xdr:row>
      <xdr:rowOff>43392</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xdr:colOff>
      <xdr:row>1</xdr:row>
      <xdr:rowOff>4</xdr:rowOff>
    </xdr:from>
    <xdr:to>
      <xdr:col>11</xdr:col>
      <xdr:colOff>560921</xdr:colOff>
      <xdr:row>6</xdr:row>
      <xdr:rowOff>114300</xdr:rowOff>
    </xdr:to>
    <xdr:sp macro="" textlink="">
      <xdr:nvSpPr>
        <xdr:cNvPr id="3" name="テキスト ボックス 2"/>
        <xdr:cNvSpPr txBox="1"/>
      </xdr:nvSpPr>
      <xdr:spPr>
        <a:xfrm>
          <a:off x="8" y="238129"/>
          <a:ext cx="8104713" cy="97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断面積</a:t>
          </a:r>
          <a:r>
            <a:rPr kumimoji="1" lang="en-US" altLang="ja-JP" sz="1200"/>
            <a:t>100 cm²</a:t>
          </a:r>
          <a:r>
            <a:rPr kumimoji="1" lang="ja-JP" altLang="en-US" sz="1200"/>
            <a:t>、長さ</a:t>
          </a:r>
          <a:r>
            <a:rPr kumimoji="1" lang="en-US" altLang="ja-JP" sz="1200"/>
            <a:t>50 cm</a:t>
          </a:r>
          <a:r>
            <a:rPr kumimoji="1" lang="ja-JP" altLang="en-US" sz="1200"/>
            <a:t>の円筒形カラムに、均質に土を充填して飽和させる。上端は、</a:t>
          </a:r>
          <a:r>
            <a:rPr kumimoji="1" lang="en-US" altLang="ja-JP" sz="1200"/>
            <a:t>10 cm</a:t>
          </a:r>
          <a:r>
            <a:rPr kumimoji="1" lang="ja-JP" altLang="en-US" sz="1200"/>
            <a:t>の湛水を維持する。定常状態での土を流れる水の流量</a:t>
          </a:r>
          <a:r>
            <a:rPr kumimoji="1" lang="en-US" altLang="ja-JP" sz="1200" i="1"/>
            <a:t>Q</a:t>
          </a:r>
          <a:r>
            <a:rPr kumimoji="1" lang="ja-JP" altLang="en-US" sz="1200"/>
            <a:t>は</a:t>
          </a:r>
          <a:r>
            <a:rPr kumimoji="1" lang="en-US" altLang="ja-JP" sz="1200"/>
            <a:t>1000 cm³/h </a:t>
          </a:r>
          <a:r>
            <a:rPr kumimoji="1" lang="ja-JP" altLang="en-US" sz="1200"/>
            <a:t>（下向き）である。</a:t>
          </a:r>
          <a:endParaRPr kumimoji="1" lang="en-US" altLang="ja-JP" sz="1200"/>
        </a:p>
        <a:p>
          <a:pPr algn="l"/>
          <a:r>
            <a:rPr kumimoji="1" lang="en-US" altLang="ja-JP" sz="1200"/>
            <a:t>(a) </a:t>
          </a:r>
          <a:r>
            <a:rPr kumimoji="1" lang="ja-JP" altLang="en-US" sz="1200"/>
            <a:t>カラムを通過する定常水分フラックスを計算しなさい。</a:t>
          </a:r>
          <a:endParaRPr kumimoji="1" lang="en-US" altLang="ja-JP" sz="1200"/>
        </a:p>
        <a:p>
          <a:pPr algn="l"/>
          <a:r>
            <a:rPr kumimoji="1" lang="en-US" altLang="ja-JP" sz="1200"/>
            <a:t>(b) </a:t>
          </a:r>
          <a:r>
            <a:rPr kumimoji="1" lang="ja-JP" altLang="en-US" sz="1200"/>
            <a:t>土の飽和透水係数を計算しなさい。</a:t>
          </a:r>
          <a:endParaRPr kumimoji="1" lang="en-US" altLang="ja-JP" sz="1200"/>
        </a:p>
        <a:p>
          <a:pPr algn="l"/>
          <a:endParaRPr kumimoji="1" lang="ja-JP" altLang="en-US" sz="1200"/>
        </a:p>
      </xdr:txBody>
    </xdr:sp>
    <xdr:clientData/>
  </xdr:twoCellAnchor>
  <xdr:twoCellAnchor>
    <xdr:from>
      <xdr:col>1</xdr:col>
      <xdr:colOff>80963</xdr:colOff>
      <xdr:row>12</xdr:row>
      <xdr:rowOff>97631</xdr:rowOff>
    </xdr:from>
    <xdr:to>
      <xdr:col>1</xdr:col>
      <xdr:colOff>100013</xdr:colOff>
      <xdr:row>16</xdr:row>
      <xdr:rowOff>2381</xdr:rowOff>
    </xdr:to>
    <xdr:cxnSp macro="">
      <xdr:nvCxnSpPr>
        <xdr:cNvPr id="10" name="直線矢印コネクタ 9"/>
        <xdr:cNvCxnSpPr/>
      </xdr:nvCxnSpPr>
      <xdr:spPr>
        <a:xfrm>
          <a:off x="1462088" y="2169319"/>
          <a:ext cx="19050" cy="571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100013</xdr:colOff>
      <xdr:row>15</xdr:row>
      <xdr:rowOff>150019</xdr:rowOff>
    </xdr:from>
    <xdr:to>
      <xdr:col>1</xdr:col>
      <xdr:colOff>119063</xdr:colOff>
      <xdr:row>26</xdr:row>
      <xdr:rowOff>40481</xdr:rowOff>
    </xdr:to>
    <xdr:cxnSp macro="">
      <xdr:nvCxnSpPr>
        <xdr:cNvPr id="11" name="直線矢印コネクタ 10"/>
        <xdr:cNvCxnSpPr/>
      </xdr:nvCxnSpPr>
      <xdr:spPr>
        <a:xfrm>
          <a:off x="1481138" y="2721769"/>
          <a:ext cx="19050" cy="172402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263525</xdr:colOff>
      <xdr:row>11</xdr:row>
      <xdr:rowOff>111125</xdr:rowOff>
    </xdr:from>
    <xdr:to>
      <xdr:col>3</xdr:col>
      <xdr:colOff>603250</xdr:colOff>
      <xdr:row>12</xdr:row>
      <xdr:rowOff>161925</xdr:rowOff>
    </xdr:to>
    <xdr:cxnSp macro="">
      <xdr:nvCxnSpPr>
        <xdr:cNvPr id="15" name="直線矢印コネクタ 14"/>
        <xdr:cNvCxnSpPr/>
      </xdr:nvCxnSpPr>
      <xdr:spPr>
        <a:xfrm flipH="1">
          <a:off x="2994025" y="2095500"/>
          <a:ext cx="339725" cy="225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333376</xdr:colOff>
      <xdr:row>9</xdr:row>
      <xdr:rowOff>161925</xdr:rowOff>
    </xdr:from>
    <xdr:to>
      <xdr:col>5</xdr:col>
      <xdr:colOff>88901</xdr:colOff>
      <xdr:row>11</xdr:row>
      <xdr:rowOff>104775</xdr:rowOff>
    </xdr:to>
    <xdr:sp macro="" textlink="">
      <xdr:nvSpPr>
        <xdr:cNvPr id="16" name="正方形/長方形 15"/>
        <xdr:cNvSpPr/>
      </xdr:nvSpPr>
      <xdr:spPr>
        <a:xfrm>
          <a:off x="3063876" y="1797050"/>
          <a:ext cx="1120775" cy="2921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湛水</a:t>
          </a:r>
          <a:r>
            <a:rPr kumimoji="1" lang="en-US" altLang="ja-JP" sz="1100">
              <a:solidFill>
                <a:schemeClr val="tx1"/>
              </a:solidFill>
            </a:rPr>
            <a:t>(</a:t>
          </a:r>
          <a:r>
            <a:rPr kumimoji="1" lang="ja-JP" altLang="en-US" sz="1100">
              <a:solidFill>
                <a:schemeClr val="tx1"/>
              </a:solidFill>
            </a:rPr>
            <a:t>一定水位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xdr:col>
      <xdr:colOff>285750</xdr:colOff>
      <xdr:row>26</xdr:row>
      <xdr:rowOff>102394</xdr:rowOff>
    </xdr:from>
    <xdr:to>
      <xdr:col>2</xdr:col>
      <xdr:colOff>290512</xdr:colOff>
      <xdr:row>28</xdr:row>
      <xdr:rowOff>154781</xdr:rowOff>
    </xdr:to>
    <xdr:cxnSp macro="">
      <xdr:nvCxnSpPr>
        <xdr:cNvPr id="17" name="直線矢印コネクタ 16"/>
        <xdr:cNvCxnSpPr/>
      </xdr:nvCxnSpPr>
      <xdr:spPr>
        <a:xfrm>
          <a:off x="2357438" y="4507707"/>
          <a:ext cx="4762" cy="385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14</xdr:row>
      <xdr:rowOff>0</xdr:rowOff>
    </xdr:from>
    <xdr:to>
      <xdr:col>3</xdr:col>
      <xdr:colOff>295275</xdr:colOff>
      <xdr:row>26</xdr:row>
      <xdr:rowOff>95250</xdr:rowOff>
    </xdr:to>
    <xdr:sp macro="" textlink="">
      <xdr:nvSpPr>
        <xdr:cNvPr id="25" name="円柱 24"/>
        <xdr:cNvSpPr/>
      </xdr:nvSpPr>
      <xdr:spPr>
        <a:xfrm>
          <a:off x="1676400" y="8229600"/>
          <a:ext cx="1362075" cy="2152650"/>
        </a:xfrm>
        <a:prstGeom prst="ca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2400"/>
            <a:t>土</a:t>
          </a:r>
          <a:endParaRPr kumimoji="1" lang="en-US" altLang="ja-JP" sz="2400"/>
        </a:p>
      </xdr:txBody>
    </xdr:sp>
    <xdr:clientData/>
  </xdr:twoCellAnchor>
  <xdr:twoCellAnchor>
    <xdr:from>
      <xdr:col>1</xdr:col>
      <xdr:colOff>304800</xdr:colOff>
      <xdr:row>12</xdr:row>
      <xdr:rowOff>76199</xdr:rowOff>
    </xdr:from>
    <xdr:to>
      <xdr:col>3</xdr:col>
      <xdr:colOff>295275</xdr:colOff>
      <xdr:row>15</xdr:row>
      <xdr:rowOff>161924</xdr:rowOff>
    </xdr:to>
    <xdr:sp macro="" textlink="">
      <xdr:nvSpPr>
        <xdr:cNvPr id="26" name="円柱 25"/>
        <xdr:cNvSpPr/>
      </xdr:nvSpPr>
      <xdr:spPr>
        <a:xfrm>
          <a:off x="1676400" y="7962899"/>
          <a:ext cx="1362075" cy="600075"/>
        </a:xfrm>
        <a:prstGeom prst="ca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水</a:t>
          </a:r>
          <a:endParaRPr kumimoji="1" lang="en-US" altLang="ja-JP" sz="2400"/>
        </a:p>
        <a:p>
          <a:pPr algn="ctr"/>
          <a:endParaRPr kumimoji="1" lang="en-US" altLang="ja-JP" sz="2000"/>
        </a:p>
        <a:p>
          <a:pPr algn="ctr"/>
          <a:endParaRPr kumimoji="1" lang="en-US" altLang="ja-JP" sz="1600"/>
        </a:p>
      </xdr:txBody>
    </xdr:sp>
    <xdr:clientData/>
  </xdr:twoCellAnchor>
  <xdr:twoCellAnchor>
    <xdr:from>
      <xdr:col>1</xdr:col>
      <xdr:colOff>381000</xdr:colOff>
      <xdr:row>23</xdr:row>
      <xdr:rowOff>4763</xdr:rowOff>
    </xdr:from>
    <xdr:to>
      <xdr:col>3</xdr:col>
      <xdr:colOff>345281</xdr:colOff>
      <xdr:row>25</xdr:row>
      <xdr:rowOff>71438</xdr:rowOff>
    </xdr:to>
    <xdr:sp macro="" textlink="">
      <xdr:nvSpPr>
        <xdr:cNvPr id="14" name="正方形/長方形 13"/>
        <xdr:cNvSpPr/>
      </xdr:nvSpPr>
      <xdr:spPr>
        <a:xfrm>
          <a:off x="1762125" y="3910013"/>
          <a:ext cx="1345406"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i="1">
              <a:solidFill>
                <a:schemeClr val="tx1"/>
              </a:solidFill>
            </a:rPr>
            <a:t>K</a:t>
          </a:r>
          <a:r>
            <a:rPr kumimoji="1" lang="en-US" altLang="ja-JP" sz="1600" baseline="-25000">
              <a:solidFill>
                <a:schemeClr val="tx1"/>
              </a:solidFill>
            </a:rPr>
            <a:t>s </a:t>
          </a:r>
          <a:r>
            <a:rPr kumimoji="1" lang="en-US" altLang="ja-JP" sz="1600">
              <a:solidFill>
                <a:schemeClr val="tx1"/>
              </a:solidFill>
            </a:rPr>
            <a:t>= </a:t>
          </a:r>
          <a:r>
            <a:rPr kumimoji="1" lang="en-US" altLang="ja-JP" sz="1600" i="1">
              <a:solidFill>
                <a:schemeClr val="tx1"/>
              </a:solidFill>
              <a:latin typeface="Times New Roman" pitchFamily="18" charset="0"/>
              <a:cs typeface="Times New Roman" pitchFamily="18" charset="0"/>
            </a:rPr>
            <a:t>x</a:t>
          </a:r>
          <a:r>
            <a:rPr kumimoji="1" lang="en-US" altLang="ja-JP" sz="1600">
              <a:solidFill>
                <a:schemeClr val="tx1"/>
              </a:solidFill>
            </a:rPr>
            <a:t> (cmh</a:t>
          </a:r>
          <a:r>
            <a:rPr kumimoji="1" lang="ja-JP" altLang="en-US" sz="1600">
              <a:solidFill>
                <a:schemeClr val="tx1"/>
              </a:solidFill>
            </a:rPr>
            <a:t>⁻</a:t>
          </a:r>
          <a:r>
            <a:rPr kumimoji="1" lang="en-US" altLang="ja-JP" sz="1600">
              <a:solidFill>
                <a:schemeClr val="tx1"/>
              </a:solidFill>
            </a:rPr>
            <a:t>¹)</a:t>
          </a:r>
          <a:endParaRPr kumimoji="1" lang="ja-JP" altLang="en-US" sz="1600">
            <a:solidFill>
              <a:schemeClr val="tx1"/>
            </a:solidFill>
          </a:endParaRPr>
        </a:p>
      </xdr:txBody>
    </xdr:sp>
    <xdr:clientData/>
  </xdr:twoCellAnchor>
  <xdr:twoCellAnchor>
    <xdr:from>
      <xdr:col>4</xdr:col>
      <xdr:colOff>209550</xdr:colOff>
      <xdr:row>21</xdr:row>
      <xdr:rowOff>161924</xdr:rowOff>
    </xdr:from>
    <xdr:to>
      <xdr:col>6</xdr:col>
      <xdr:colOff>295275</xdr:colOff>
      <xdr:row>25</xdr:row>
      <xdr:rowOff>28575</xdr:rowOff>
    </xdr:to>
    <xdr:sp macro="" textlink="">
      <xdr:nvSpPr>
        <xdr:cNvPr id="30" name="角丸四角形吹き出し 29"/>
        <xdr:cNvSpPr/>
      </xdr:nvSpPr>
      <xdr:spPr>
        <a:xfrm>
          <a:off x="3649133" y="4024841"/>
          <a:ext cx="1461559" cy="670984"/>
        </a:xfrm>
        <a:prstGeom prst="wedgeRoundRectCallout">
          <a:avLst>
            <a:gd name="adj1" fmla="val -89340"/>
            <a:gd name="adj2" fmla="val 61766"/>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4</xdr:col>
      <xdr:colOff>198963</xdr:colOff>
      <xdr:row>16</xdr:row>
      <xdr:rowOff>126997</xdr:rowOff>
    </xdr:from>
    <xdr:to>
      <xdr:col>6</xdr:col>
      <xdr:colOff>284688</xdr:colOff>
      <xdr:row>20</xdr:row>
      <xdr:rowOff>21164</xdr:rowOff>
    </xdr:to>
    <xdr:sp macro="" textlink="">
      <xdr:nvSpPr>
        <xdr:cNvPr id="31" name="角丸四角形吹き出し 30"/>
        <xdr:cNvSpPr/>
      </xdr:nvSpPr>
      <xdr:spPr>
        <a:xfrm>
          <a:off x="2950630" y="3069164"/>
          <a:ext cx="1461558" cy="698500"/>
        </a:xfrm>
        <a:prstGeom prst="wedgeRoundRectCallout">
          <a:avLst>
            <a:gd name="adj1" fmla="val -87876"/>
            <a:gd name="adj2" fmla="val -83661"/>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0</xdr:col>
      <xdr:colOff>8</xdr:colOff>
      <xdr:row>32</xdr:row>
      <xdr:rowOff>4</xdr:rowOff>
    </xdr:from>
    <xdr:to>
      <xdr:col>11</xdr:col>
      <xdr:colOff>560921</xdr:colOff>
      <xdr:row>38</xdr:row>
      <xdr:rowOff>84667</xdr:rowOff>
    </xdr:to>
    <xdr:sp macro="" textlink="">
      <xdr:nvSpPr>
        <xdr:cNvPr id="32" name="テキスト ボックス 31"/>
        <xdr:cNvSpPr txBox="1"/>
      </xdr:nvSpPr>
      <xdr:spPr>
        <a:xfrm>
          <a:off x="8" y="5757337"/>
          <a:ext cx="8127996" cy="1100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内径</a:t>
          </a:r>
          <a:r>
            <a:rPr kumimoji="1" lang="en-US" altLang="ja-JP" sz="1200"/>
            <a:t>1</a:t>
          </a:r>
          <a:r>
            <a:rPr kumimoji="1" lang="ja-JP" altLang="en-US" sz="1200" baseline="0"/>
            <a:t> </a:t>
          </a:r>
          <a:r>
            <a:rPr kumimoji="1" lang="en-US" altLang="ja-JP" sz="1200"/>
            <a:t>mm</a:t>
          </a:r>
          <a:r>
            <a:rPr kumimoji="1" lang="ja-JP" altLang="en-US" sz="1200"/>
            <a:t>のパイプを、問題</a:t>
          </a:r>
          <a:r>
            <a:rPr kumimoji="1" lang="en-US" altLang="ja-JP" sz="1200"/>
            <a:t>3.4</a:t>
          </a:r>
          <a:r>
            <a:rPr kumimoji="1" lang="ja-JP" altLang="en-US" sz="1200"/>
            <a:t>で用いた土カラムに挿入して貫通させる。定常状態では土中を（</a:t>
          </a:r>
          <a:r>
            <a:rPr kumimoji="1" lang="en-US" altLang="ja-JP" sz="1200"/>
            <a:t>3.14</a:t>
          </a:r>
          <a:r>
            <a:rPr kumimoji="1" lang="ja-JP" altLang="en-US" sz="1200"/>
            <a:t>）式のダルシー則、パイプ内を（</a:t>
          </a:r>
          <a:r>
            <a:rPr kumimoji="1" lang="en-US" altLang="ja-JP" sz="1200"/>
            <a:t>3.10</a:t>
          </a:r>
          <a:r>
            <a:rPr kumimoji="1" lang="ja-JP" altLang="en-US" sz="1200"/>
            <a:t>）式のポワズイユ則に従って水は流れる。</a:t>
          </a:r>
          <a:endParaRPr kumimoji="1" lang="en-US" altLang="ja-JP" sz="1200"/>
        </a:p>
        <a:p>
          <a:pPr algn="l"/>
          <a:r>
            <a:rPr kumimoji="1" lang="en-US" altLang="ja-JP" sz="1200"/>
            <a:t>(a) </a:t>
          </a:r>
          <a:r>
            <a:rPr kumimoji="1" lang="ja-JP" altLang="en-US" sz="1200"/>
            <a:t>パイプ内を流れる流量を計算しなさい。</a:t>
          </a:r>
          <a:endParaRPr kumimoji="1" lang="en-US" altLang="ja-JP" sz="1200"/>
        </a:p>
        <a:p>
          <a:pPr algn="l"/>
          <a:r>
            <a:rPr kumimoji="1" lang="en-US" altLang="ja-JP" sz="1200"/>
            <a:t>(b)</a:t>
          </a:r>
          <a:r>
            <a:rPr kumimoji="1" lang="en-US" altLang="ja-JP" sz="1200" baseline="0"/>
            <a:t> </a:t>
          </a:r>
          <a:r>
            <a:rPr kumimoji="1" lang="ja-JP" altLang="en-US" sz="1200"/>
            <a:t>カラムとパイプからなる系を通過するフラックス（</a:t>
          </a:r>
          <a:r>
            <a:rPr kumimoji="1" lang="en-US" altLang="ja-JP" sz="1200" i="1"/>
            <a:t>J</a:t>
          </a:r>
          <a:r>
            <a:rPr kumimoji="1" lang="en-US" altLang="ja-JP" sz="1200" baseline="-25000"/>
            <a:t>tot</a:t>
          </a:r>
          <a:r>
            <a:rPr kumimoji="1" lang="en-US" altLang="ja-JP" sz="1200" baseline="0"/>
            <a:t> = </a:t>
          </a:r>
          <a:r>
            <a:rPr kumimoji="1" lang="en-US" altLang="ja-JP" sz="1200" i="1" baseline="0"/>
            <a:t>Q</a:t>
          </a:r>
          <a:r>
            <a:rPr kumimoji="1" lang="en-US" altLang="ja-JP" sz="1100" baseline="-25000">
              <a:solidFill>
                <a:schemeClr val="dk1"/>
              </a:solidFill>
              <a:latin typeface="+mn-lt"/>
              <a:ea typeface="+mn-ea"/>
              <a:cs typeface="+mn-cs"/>
            </a:rPr>
            <a:t>tot</a:t>
          </a:r>
          <a:r>
            <a:rPr kumimoji="1" lang="en-US" altLang="ja-JP" sz="1200" baseline="0"/>
            <a:t>/</a:t>
          </a:r>
          <a:r>
            <a:rPr kumimoji="1" lang="en-US" altLang="ja-JP" sz="1200" i="1" baseline="0"/>
            <a:t>A</a:t>
          </a:r>
          <a:r>
            <a:rPr kumimoji="1" lang="en-US" altLang="ja-JP" sz="1100" baseline="-25000">
              <a:solidFill>
                <a:schemeClr val="dk1"/>
              </a:solidFill>
              <a:latin typeface="+mn-lt"/>
              <a:ea typeface="+mn-ea"/>
              <a:cs typeface="+mn-cs"/>
            </a:rPr>
            <a:t>tot</a:t>
          </a:r>
          <a:r>
            <a:rPr kumimoji="1" lang="ja-JP" altLang="en-US" sz="1200"/>
            <a:t>）を計算しなさい。</a:t>
          </a:r>
          <a:endParaRPr kumimoji="1" lang="en-US" altLang="ja-JP" sz="1200"/>
        </a:p>
        <a:p>
          <a:pPr algn="l"/>
          <a:r>
            <a:rPr kumimoji="1" lang="en-US" altLang="ja-JP" sz="1200"/>
            <a:t>(c)</a:t>
          </a:r>
          <a:r>
            <a:rPr kumimoji="1" lang="en-US" altLang="ja-JP" sz="1200" baseline="0"/>
            <a:t> </a:t>
          </a:r>
          <a:r>
            <a:rPr kumimoji="1" lang="ja-JP" altLang="en-US" sz="1200"/>
            <a:t>このカラムとパイプの系の有効飽和透水係数を計算しなさい。</a:t>
          </a:r>
        </a:p>
      </xdr:txBody>
    </xdr:sp>
    <xdr:clientData/>
  </xdr:twoCellAnchor>
  <xdr:twoCellAnchor>
    <xdr:from>
      <xdr:col>1</xdr:col>
      <xdr:colOff>80963</xdr:colOff>
      <xdr:row>42</xdr:row>
      <xdr:rowOff>97631</xdr:rowOff>
    </xdr:from>
    <xdr:to>
      <xdr:col>1</xdr:col>
      <xdr:colOff>100013</xdr:colOff>
      <xdr:row>46</xdr:row>
      <xdr:rowOff>2381</xdr:rowOff>
    </xdr:to>
    <xdr:cxnSp macro="">
      <xdr:nvCxnSpPr>
        <xdr:cNvPr id="18" name="直線矢印コネクタ 17"/>
        <xdr:cNvCxnSpPr/>
      </xdr:nvCxnSpPr>
      <xdr:spPr>
        <a:xfrm>
          <a:off x="768880" y="2277798"/>
          <a:ext cx="19050" cy="65616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100013</xdr:colOff>
      <xdr:row>45</xdr:row>
      <xdr:rowOff>150019</xdr:rowOff>
    </xdr:from>
    <xdr:to>
      <xdr:col>1</xdr:col>
      <xdr:colOff>119063</xdr:colOff>
      <xdr:row>56</xdr:row>
      <xdr:rowOff>40481</xdr:rowOff>
    </xdr:to>
    <xdr:cxnSp macro="">
      <xdr:nvCxnSpPr>
        <xdr:cNvPr id="19" name="直線矢印コネクタ 18"/>
        <xdr:cNvCxnSpPr/>
      </xdr:nvCxnSpPr>
      <xdr:spPr>
        <a:xfrm>
          <a:off x="787930" y="2838186"/>
          <a:ext cx="19050" cy="203887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285750</xdr:colOff>
      <xdr:row>56</xdr:row>
      <xdr:rowOff>102394</xdr:rowOff>
    </xdr:from>
    <xdr:to>
      <xdr:col>2</xdr:col>
      <xdr:colOff>290512</xdr:colOff>
      <xdr:row>58</xdr:row>
      <xdr:rowOff>154781</xdr:rowOff>
    </xdr:to>
    <xdr:cxnSp macro="">
      <xdr:nvCxnSpPr>
        <xdr:cNvPr id="21" name="直線矢印コネクタ 20"/>
        <xdr:cNvCxnSpPr/>
      </xdr:nvCxnSpPr>
      <xdr:spPr>
        <a:xfrm>
          <a:off x="1661583" y="4938977"/>
          <a:ext cx="4762" cy="391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44</xdr:row>
      <xdr:rowOff>0</xdr:rowOff>
    </xdr:from>
    <xdr:to>
      <xdr:col>3</xdr:col>
      <xdr:colOff>295275</xdr:colOff>
      <xdr:row>56</xdr:row>
      <xdr:rowOff>95250</xdr:rowOff>
    </xdr:to>
    <xdr:sp macro="" textlink="">
      <xdr:nvSpPr>
        <xdr:cNvPr id="22" name="円柱 21"/>
        <xdr:cNvSpPr/>
      </xdr:nvSpPr>
      <xdr:spPr>
        <a:xfrm>
          <a:off x="992717" y="7789333"/>
          <a:ext cx="1366308" cy="2127250"/>
        </a:xfrm>
        <a:prstGeom prst="ca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xdr:txBody>
    </xdr:sp>
    <xdr:clientData/>
  </xdr:twoCellAnchor>
  <xdr:twoCellAnchor>
    <xdr:from>
      <xdr:col>1</xdr:col>
      <xdr:colOff>304800</xdr:colOff>
      <xdr:row>42</xdr:row>
      <xdr:rowOff>107948</xdr:rowOff>
    </xdr:from>
    <xdr:to>
      <xdr:col>3</xdr:col>
      <xdr:colOff>295275</xdr:colOff>
      <xdr:row>45</xdr:row>
      <xdr:rowOff>193673</xdr:rowOff>
    </xdr:to>
    <xdr:sp macro="" textlink="">
      <xdr:nvSpPr>
        <xdr:cNvPr id="23" name="円柱 22"/>
        <xdr:cNvSpPr/>
      </xdr:nvSpPr>
      <xdr:spPr>
        <a:xfrm>
          <a:off x="992717" y="7749115"/>
          <a:ext cx="1366308" cy="710141"/>
        </a:xfrm>
        <a:prstGeom prst="ca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a:p>
        <a:p>
          <a:pPr algn="ctr"/>
          <a:endParaRPr kumimoji="1" lang="en-US" altLang="ja-JP" sz="1600"/>
        </a:p>
      </xdr:txBody>
    </xdr:sp>
    <xdr:clientData/>
  </xdr:twoCellAnchor>
  <xdr:twoCellAnchor>
    <xdr:from>
      <xdr:col>1</xdr:col>
      <xdr:colOff>357193</xdr:colOff>
      <xdr:row>49</xdr:row>
      <xdr:rowOff>123826</xdr:rowOff>
    </xdr:from>
    <xdr:to>
      <xdr:col>3</xdr:col>
      <xdr:colOff>321474</xdr:colOff>
      <xdr:row>52</xdr:row>
      <xdr:rowOff>15876</xdr:rowOff>
    </xdr:to>
    <xdr:sp macro="" textlink="">
      <xdr:nvSpPr>
        <xdr:cNvPr id="24" name="正方形/長方形 23"/>
        <xdr:cNvSpPr/>
      </xdr:nvSpPr>
      <xdr:spPr>
        <a:xfrm>
          <a:off x="1039818" y="8918576"/>
          <a:ext cx="1329531" cy="415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i="0">
              <a:solidFill>
                <a:schemeClr val="bg1"/>
              </a:solidFill>
            </a:rPr>
            <a:t>土</a:t>
          </a:r>
          <a:endParaRPr kumimoji="1" lang="ja-JP" altLang="en-US" sz="1600" i="0">
            <a:solidFill>
              <a:schemeClr val="bg1"/>
            </a:solidFill>
          </a:endParaRPr>
        </a:p>
      </xdr:txBody>
    </xdr:sp>
    <xdr:clientData/>
  </xdr:twoCellAnchor>
  <xdr:twoCellAnchor>
    <xdr:from>
      <xdr:col>2</xdr:col>
      <xdr:colOff>137584</xdr:colOff>
      <xdr:row>45</xdr:row>
      <xdr:rowOff>21166</xdr:rowOff>
    </xdr:from>
    <xdr:to>
      <xdr:col>2</xdr:col>
      <xdr:colOff>423334</xdr:colOff>
      <xdr:row>56</xdr:row>
      <xdr:rowOff>31750</xdr:rowOff>
    </xdr:to>
    <xdr:sp macro="" textlink="">
      <xdr:nvSpPr>
        <xdr:cNvPr id="27" name="円柱 26"/>
        <xdr:cNvSpPr/>
      </xdr:nvSpPr>
      <xdr:spPr>
        <a:xfrm>
          <a:off x="1513417" y="7979833"/>
          <a:ext cx="285750" cy="1873250"/>
        </a:xfrm>
        <a:prstGeom prst="can">
          <a:avLst>
            <a:gd name="adj" fmla="val 28703"/>
          </a:avLst>
        </a:prstGeom>
        <a:no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306916</xdr:colOff>
      <xdr:row>44</xdr:row>
      <xdr:rowOff>158750</xdr:rowOff>
    </xdr:from>
    <xdr:to>
      <xdr:col>3</xdr:col>
      <xdr:colOff>285751</xdr:colOff>
      <xdr:row>46</xdr:row>
      <xdr:rowOff>1</xdr:rowOff>
    </xdr:to>
    <xdr:sp macro="" textlink="">
      <xdr:nvSpPr>
        <xdr:cNvPr id="28" name="円/楕円 27"/>
        <xdr:cNvSpPr/>
      </xdr:nvSpPr>
      <xdr:spPr>
        <a:xfrm>
          <a:off x="994833" y="7948083"/>
          <a:ext cx="1354668" cy="1799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357193</xdr:colOff>
      <xdr:row>43</xdr:row>
      <xdr:rowOff>1061</xdr:rowOff>
    </xdr:from>
    <xdr:to>
      <xdr:col>3</xdr:col>
      <xdr:colOff>321474</xdr:colOff>
      <xdr:row>45</xdr:row>
      <xdr:rowOff>67736</xdr:rowOff>
    </xdr:to>
    <xdr:sp macro="" textlink="">
      <xdr:nvSpPr>
        <xdr:cNvPr id="29" name="正方形/長方形 28"/>
        <xdr:cNvSpPr/>
      </xdr:nvSpPr>
      <xdr:spPr>
        <a:xfrm>
          <a:off x="1045110" y="7885644"/>
          <a:ext cx="1340114"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i="0">
              <a:solidFill>
                <a:schemeClr val="bg1"/>
              </a:solidFill>
            </a:rPr>
            <a:t>水</a:t>
          </a:r>
          <a:endParaRPr kumimoji="1" lang="ja-JP" altLang="en-US" sz="1600" i="0">
            <a:solidFill>
              <a:schemeClr val="bg1"/>
            </a:solidFill>
          </a:endParaRPr>
        </a:p>
      </xdr:txBody>
    </xdr:sp>
    <xdr:clientData/>
  </xdr:twoCellAnchor>
  <xdr:twoCellAnchor>
    <xdr:from>
      <xdr:col>2</xdr:col>
      <xdr:colOff>465667</xdr:colOff>
      <xdr:row>41</xdr:row>
      <xdr:rowOff>101599</xdr:rowOff>
    </xdr:from>
    <xdr:to>
      <xdr:col>3</xdr:col>
      <xdr:colOff>248709</xdr:colOff>
      <xdr:row>48</xdr:row>
      <xdr:rowOff>137583</xdr:rowOff>
    </xdr:to>
    <xdr:cxnSp macro="">
      <xdr:nvCxnSpPr>
        <xdr:cNvPr id="37" name="直線矢印コネクタ 36"/>
        <xdr:cNvCxnSpPr>
          <a:stCxn id="38" idx="2"/>
        </xdr:cNvCxnSpPr>
      </xdr:nvCxnSpPr>
      <xdr:spPr>
        <a:xfrm flipH="1">
          <a:off x="1841500" y="7552266"/>
          <a:ext cx="470959" cy="1221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506942</xdr:colOff>
      <xdr:row>39</xdr:row>
      <xdr:rowOff>101600</xdr:rowOff>
    </xdr:from>
    <xdr:to>
      <xdr:col>3</xdr:col>
      <xdr:colOff>678392</xdr:colOff>
      <xdr:row>41</xdr:row>
      <xdr:rowOff>101599</xdr:rowOff>
    </xdr:to>
    <xdr:sp macro="" textlink="">
      <xdr:nvSpPr>
        <xdr:cNvPr id="38" name="正方形/長方形 37"/>
        <xdr:cNvSpPr/>
      </xdr:nvSpPr>
      <xdr:spPr>
        <a:xfrm>
          <a:off x="1882775" y="7213600"/>
          <a:ext cx="859367" cy="33866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パイプ</a:t>
          </a:r>
          <a:endParaRPr kumimoji="1" lang="ja-JP" altLang="en-US" sz="1100">
            <a:solidFill>
              <a:schemeClr val="tx1"/>
            </a:solidFill>
          </a:endParaRPr>
        </a:p>
      </xdr:txBody>
    </xdr:sp>
    <xdr:clientData/>
  </xdr:twoCellAnchor>
  <xdr:twoCellAnchor>
    <xdr:from>
      <xdr:col>0</xdr:col>
      <xdr:colOff>306916</xdr:colOff>
      <xdr:row>74</xdr:row>
      <xdr:rowOff>31749</xdr:rowOff>
    </xdr:from>
    <xdr:to>
      <xdr:col>5</xdr:col>
      <xdr:colOff>373591</xdr:colOff>
      <xdr:row>91</xdr:row>
      <xdr:rowOff>159809</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306917</xdr:colOff>
      <xdr:row>74</xdr:row>
      <xdr:rowOff>31749</xdr:rowOff>
    </xdr:from>
    <xdr:to>
      <xdr:col>10</xdr:col>
      <xdr:colOff>257175</xdr:colOff>
      <xdr:row>91</xdr:row>
      <xdr:rowOff>159809</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222251</xdr:colOff>
      <xdr:row>74</xdr:row>
      <xdr:rowOff>31749</xdr:rowOff>
    </xdr:from>
    <xdr:to>
      <xdr:col>15</xdr:col>
      <xdr:colOff>288926</xdr:colOff>
      <xdr:row>91</xdr:row>
      <xdr:rowOff>159809</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26</xdr:row>
      <xdr:rowOff>28575</xdr:rowOff>
    </xdr:from>
    <xdr:to>
      <xdr:col>2</xdr:col>
      <xdr:colOff>666750</xdr:colOff>
      <xdr:row>29</xdr:row>
      <xdr:rowOff>28575</xdr:rowOff>
    </xdr:to>
    <xdr:sp macro="" textlink="">
      <xdr:nvSpPr>
        <xdr:cNvPr id="2" name="下矢印 1"/>
        <xdr:cNvSpPr/>
      </xdr:nvSpPr>
      <xdr:spPr>
        <a:xfrm>
          <a:off x="1390650" y="3114675"/>
          <a:ext cx="647700" cy="514350"/>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J</a:t>
          </a:r>
          <a:r>
            <a:rPr kumimoji="1" lang="en-US" altLang="ja-JP" sz="800"/>
            <a:t>w</a:t>
          </a:r>
          <a:endParaRPr kumimoji="1" lang="ja-JP" altLang="en-US" sz="800"/>
        </a:p>
      </xdr:txBody>
    </xdr:sp>
    <xdr:clientData/>
  </xdr:twoCellAnchor>
  <xdr:twoCellAnchor>
    <xdr:from>
      <xdr:col>3</xdr:col>
      <xdr:colOff>400049</xdr:colOff>
      <xdr:row>24</xdr:row>
      <xdr:rowOff>123825</xdr:rowOff>
    </xdr:from>
    <xdr:to>
      <xdr:col>4</xdr:col>
      <xdr:colOff>285749</xdr:colOff>
      <xdr:row>28</xdr:row>
      <xdr:rowOff>105833</xdr:rowOff>
    </xdr:to>
    <xdr:sp macro="" textlink="">
      <xdr:nvSpPr>
        <xdr:cNvPr id="3" name="角丸四角形吹き出し 2"/>
        <xdr:cNvSpPr/>
      </xdr:nvSpPr>
      <xdr:spPr>
        <a:xfrm>
          <a:off x="2463799" y="4261908"/>
          <a:ext cx="573617" cy="669925"/>
        </a:xfrm>
        <a:prstGeom prst="wedgeRoundRectCallout">
          <a:avLst>
            <a:gd name="adj1" fmla="val -105044"/>
            <a:gd name="adj2" fmla="val -1565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z</a:t>
          </a:r>
          <a:r>
            <a:rPr kumimoji="1" lang="ja-JP" altLang="en-US" sz="1100"/>
            <a:t>₁</a:t>
          </a:r>
          <a:r>
            <a:rPr kumimoji="1" lang="en-US" altLang="ja-JP" sz="1100"/>
            <a:t>=0</a:t>
          </a:r>
        </a:p>
        <a:p>
          <a:pPr algn="l"/>
          <a:r>
            <a:rPr kumimoji="1" lang="en-US" altLang="ja-JP" sz="1100"/>
            <a:t>p</a:t>
          </a:r>
          <a:r>
            <a:rPr kumimoji="1" lang="ja-JP" altLang="en-US" sz="1100"/>
            <a:t>₁</a:t>
          </a:r>
          <a:r>
            <a:rPr kumimoji="1" lang="en-US" altLang="ja-JP" sz="1100"/>
            <a:t>=0</a:t>
          </a:r>
        </a:p>
        <a:p>
          <a:pPr algn="l"/>
          <a:r>
            <a:rPr kumimoji="1" lang="en-US" altLang="ja-JP" sz="1100"/>
            <a:t>H</a:t>
          </a:r>
          <a:r>
            <a:rPr kumimoji="1" lang="ja-JP" altLang="en-US" sz="1100"/>
            <a:t>₁</a:t>
          </a:r>
          <a:r>
            <a:rPr kumimoji="1" lang="en-US" altLang="ja-JP" sz="1100"/>
            <a:t>=0</a:t>
          </a:r>
        </a:p>
      </xdr:txBody>
    </xdr:sp>
    <xdr:clientData/>
  </xdr:twoCellAnchor>
  <xdr:twoCellAnchor>
    <xdr:from>
      <xdr:col>0</xdr:col>
      <xdr:colOff>8</xdr:colOff>
      <xdr:row>1</xdr:row>
      <xdr:rowOff>4</xdr:rowOff>
    </xdr:from>
    <xdr:to>
      <xdr:col>11</xdr:col>
      <xdr:colOff>560921</xdr:colOff>
      <xdr:row>11</xdr:row>
      <xdr:rowOff>28575</xdr:rowOff>
    </xdr:to>
    <xdr:sp macro="" textlink="">
      <xdr:nvSpPr>
        <xdr:cNvPr id="4" name="テキスト ボックス 3"/>
        <xdr:cNvSpPr txBox="1"/>
      </xdr:nvSpPr>
      <xdr:spPr>
        <a:xfrm>
          <a:off x="8" y="238129"/>
          <a:ext cx="8104713" cy="1743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長さ</a:t>
          </a:r>
          <a:r>
            <a:rPr kumimoji="1" lang="en-US" altLang="ja-JP" sz="1200"/>
            <a:t>100 cm</a:t>
          </a:r>
          <a:r>
            <a:rPr kumimoji="1" lang="ja-JP" altLang="en-US" sz="1200"/>
            <a:t>の土カラムに、飽和透水係数</a:t>
          </a:r>
          <a:r>
            <a:rPr kumimoji="1" lang="en-US" altLang="ja-JP" sz="1200" i="1"/>
            <a:t>K</a:t>
          </a:r>
          <a:r>
            <a:rPr kumimoji="1" lang="en-US" altLang="ja-JP" sz="1200" baseline="-25000"/>
            <a:t>s</a:t>
          </a:r>
          <a:r>
            <a:rPr kumimoji="1" lang="en-US" altLang="ja-JP" sz="1200"/>
            <a:t> = 200 cm day</a:t>
          </a:r>
          <a:r>
            <a:rPr kumimoji="1" lang="en-US" altLang="ja-JP" sz="1200" baseline="30000"/>
            <a:t>-1</a:t>
          </a:r>
          <a:r>
            <a:rPr kumimoji="1" lang="ja-JP" altLang="en-US" sz="1200"/>
            <a:t>の砂を充填する。カラム中のどこかに、</a:t>
          </a:r>
          <a:r>
            <a:rPr kumimoji="1" lang="en-US" altLang="ja-JP" sz="1200" i="1"/>
            <a:t>K</a:t>
          </a:r>
          <a:r>
            <a:rPr kumimoji="1" lang="en-US" altLang="ja-JP" sz="1200" baseline="-25000"/>
            <a:t>s</a:t>
          </a:r>
          <a:r>
            <a:rPr kumimoji="1" lang="en-US" altLang="ja-JP" sz="1200"/>
            <a:t> = 0.1 cm day</a:t>
          </a:r>
          <a:r>
            <a:rPr kumimoji="1" lang="en-US" altLang="ja-JP" sz="1200" baseline="30000"/>
            <a:t>-1</a:t>
          </a:r>
          <a:r>
            <a:rPr kumimoji="1" lang="ja-JP" altLang="en-US" sz="1200"/>
            <a:t>の粘土の薄い層が挟まっている。表面には</a:t>
          </a:r>
          <a:r>
            <a:rPr kumimoji="1" lang="en-US" altLang="ja-JP" sz="1200"/>
            <a:t>10</a:t>
          </a:r>
          <a:r>
            <a:rPr kumimoji="1" lang="ja-JP" altLang="en-US" sz="1200" baseline="0"/>
            <a:t> </a:t>
          </a:r>
          <a:r>
            <a:rPr kumimoji="1" lang="en-US" altLang="ja-JP" sz="1200"/>
            <a:t>cm </a:t>
          </a:r>
          <a:r>
            <a:rPr kumimoji="1" lang="ja-JP" altLang="en-US" sz="1200"/>
            <a:t>の湛水がある。</a:t>
          </a:r>
          <a:endParaRPr kumimoji="1" lang="en-US" altLang="ja-JP" sz="1200"/>
        </a:p>
        <a:p>
          <a:pPr algn="l"/>
          <a:r>
            <a:rPr kumimoji="1" lang="en-US" altLang="ja-JP" sz="1200"/>
            <a:t>(a) </a:t>
          </a:r>
          <a:r>
            <a:rPr kumimoji="1" lang="ja-JP" altLang="en-US" sz="1200"/>
            <a:t>粘土の薄い層がないときの定常水分フラックスを求めなさい。</a:t>
          </a:r>
          <a:endParaRPr kumimoji="1" lang="en-US" altLang="ja-JP" sz="1200"/>
        </a:p>
        <a:p>
          <a:pPr algn="l"/>
          <a:r>
            <a:rPr kumimoji="1" lang="en-US" altLang="ja-JP" sz="1200"/>
            <a:t>(b) </a:t>
          </a:r>
          <a:r>
            <a:rPr kumimoji="1" lang="ja-JP" altLang="en-US" sz="1200"/>
            <a:t>実際のフラックスが</a:t>
          </a:r>
          <a:r>
            <a:rPr kumimoji="1" lang="en-US" altLang="ja-JP" sz="1200"/>
            <a:t>Jw=-15cmda</a:t>
          </a:r>
          <a:r>
            <a:rPr kumimoji="1" lang="ja-JP" altLang="en-US" sz="1200"/>
            <a:t>ｙ</a:t>
          </a:r>
          <a:r>
            <a:rPr kumimoji="1" lang="en-US" altLang="ja-JP" sz="1200"/>
            <a:t>-1</a:t>
          </a:r>
          <a:r>
            <a:rPr kumimoji="1" lang="ja-JP" altLang="en-US" sz="1200"/>
            <a:t>のとき、粘土の薄そうの厚さを求めなさい。</a:t>
          </a:r>
          <a:endParaRPr kumimoji="1" lang="en-US" altLang="ja-JP" sz="1200"/>
        </a:p>
        <a:p>
          <a:pPr algn="l"/>
          <a:r>
            <a:rPr kumimoji="1" lang="en-US" altLang="ja-JP" sz="1200"/>
            <a:t>(c) </a:t>
          </a:r>
          <a:r>
            <a:rPr kumimoji="1" lang="ja-JP" altLang="en-US" sz="1200"/>
            <a:t>次の</a:t>
          </a:r>
          <a:r>
            <a:rPr kumimoji="1" lang="en-US" altLang="ja-JP" sz="1200"/>
            <a:t>2</a:t>
          </a:r>
          <a:r>
            <a:rPr kumimoji="1" lang="ja-JP" altLang="en-US" sz="1200"/>
            <a:t>つの場合について、粘土と砂の境界圧力を計算しなさい。</a:t>
          </a:r>
          <a:endParaRPr kumimoji="1" lang="en-US" altLang="ja-JP" sz="1200"/>
        </a:p>
        <a:p>
          <a:pPr algn="l"/>
          <a:r>
            <a:rPr kumimoji="1" lang="en-US" altLang="ja-JP" sz="1200"/>
            <a:t>	(i) </a:t>
          </a:r>
          <a:r>
            <a:rPr kumimoji="1" lang="ja-JP" altLang="en-US" sz="1200"/>
            <a:t>粘土層が砂層の下端にある場合</a:t>
          </a:r>
          <a:endParaRPr kumimoji="1" lang="en-US" altLang="ja-JP" sz="1200"/>
        </a:p>
        <a:p>
          <a:pPr algn="l"/>
          <a:r>
            <a:rPr kumimoji="1" lang="en-US" altLang="ja-JP" sz="1200"/>
            <a:t>	(ii) </a:t>
          </a:r>
          <a:r>
            <a:rPr kumimoji="1" lang="ja-JP" altLang="en-US" sz="1200"/>
            <a:t>粘土層が砂層の上端にある場合</a:t>
          </a:r>
          <a:endParaRPr kumimoji="1" lang="en-US" altLang="ja-JP" sz="1200"/>
        </a:p>
        <a:p>
          <a:pPr algn="l"/>
          <a:r>
            <a:rPr kumimoji="1" lang="en-US" altLang="ja-JP" sz="1200"/>
            <a:t>(d)</a:t>
          </a:r>
          <a:r>
            <a:rPr kumimoji="1" lang="ja-JP" altLang="en-US" sz="1200"/>
            <a:t>上の結果の物理的意味について議論しなさい。</a:t>
          </a:r>
        </a:p>
      </xdr:txBody>
    </xdr:sp>
    <xdr:clientData/>
  </xdr:twoCellAnchor>
  <xdr:twoCellAnchor>
    <xdr:from>
      <xdr:col>9</xdr:col>
      <xdr:colOff>603250</xdr:colOff>
      <xdr:row>14</xdr:row>
      <xdr:rowOff>0</xdr:rowOff>
    </xdr:from>
    <xdr:to>
      <xdr:col>14</xdr:col>
      <xdr:colOff>669925</xdr:colOff>
      <xdr:row>29</xdr:row>
      <xdr:rowOff>43392</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46</xdr:row>
      <xdr:rowOff>28575</xdr:rowOff>
    </xdr:from>
    <xdr:to>
      <xdr:col>2</xdr:col>
      <xdr:colOff>657225</xdr:colOff>
      <xdr:row>49</xdr:row>
      <xdr:rowOff>28575</xdr:rowOff>
    </xdr:to>
    <xdr:sp macro="" textlink="">
      <xdr:nvSpPr>
        <xdr:cNvPr id="20" name="下矢印 19"/>
        <xdr:cNvSpPr/>
      </xdr:nvSpPr>
      <xdr:spPr>
        <a:xfrm>
          <a:off x="695325" y="3476625"/>
          <a:ext cx="647700" cy="514350"/>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J</a:t>
          </a:r>
          <a:r>
            <a:rPr kumimoji="1" lang="en-US" altLang="ja-JP" sz="800"/>
            <a:t>w</a:t>
          </a:r>
          <a:endParaRPr kumimoji="1" lang="ja-JP" altLang="en-US" sz="800"/>
        </a:p>
      </xdr:txBody>
    </xdr:sp>
    <xdr:clientData/>
  </xdr:twoCellAnchor>
  <xdr:twoCellAnchor>
    <xdr:from>
      <xdr:col>3</xdr:col>
      <xdr:colOff>209549</xdr:colOff>
      <xdr:row>45</xdr:row>
      <xdr:rowOff>21167</xdr:rowOff>
    </xdr:from>
    <xdr:to>
      <xdr:col>5</xdr:col>
      <xdr:colOff>582083</xdr:colOff>
      <xdr:row>48</xdr:row>
      <xdr:rowOff>28575</xdr:rowOff>
    </xdr:to>
    <xdr:sp macro="" textlink="">
      <xdr:nvSpPr>
        <xdr:cNvPr id="27" name="角丸四角形吹き出し 26"/>
        <xdr:cNvSpPr/>
      </xdr:nvSpPr>
      <xdr:spPr>
        <a:xfrm>
          <a:off x="2273299" y="8403167"/>
          <a:ext cx="1748367" cy="652991"/>
        </a:xfrm>
        <a:prstGeom prst="wedgeRoundRectCallout">
          <a:avLst>
            <a:gd name="adj1" fmla="val -63934"/>
            <a:gd name="adj2" fmla="val -16351"/>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3</xdr:col>
      <xdr:colOff>209549</xdr:colOff>
      <xdr:row>33</xdr:row>
      <xdr:rowOff>0</xdr:rowOff>
    </xdr:from>
    <xdr:to>
      <xdr:col>5</xdr:col>
      <xdr:colOff>582083</xdr:colOff>
      <xdr:row>36</xdr:row>
      <xdr:rowOff>9525</xdr:rowOff>
    </xdr:to>
    <xdr:sp macro="" textlink="">
      <xdr:nvSpPr>
        <xdr:cNvPr id="29" name="角丸四角形吹き出し 28"/>
        <xdr:cNvSpPr/>
      </xdr:nvSpPr>
      <xdr:spPr>
        <a:xfrm>
          <a:off x="2273299" y="5990167"/>
          <a:ext cx="1748367" cy="623358"/>
        </a:xfrm>
        <a:prstGeom prst="wedgeRoundRectCallout">
          <a:avLst>
            <a:gd name="adj1" fmla="val -61902"/>
            <a:gd name="adj2" fmla="val 44373"/>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3</xdr:col>
      <xdr:colOff>209549</xdr:colOff>
      <xdr:row>50</xdr:row>
      <xdr:rowOff>10582</xdr:rowOff>
    </xdr:from>
    <xdr:to>
      <xdr:col>5</xdr:col>
      <xdr:colOff>582083</xdr:colOff>
      <xdr:row>52</xdr:row>
      <xdr:rowOff>52917</xdr:rowOff>
    </xdr:to>
    <xdr:sp macro="" textlink="">
      <xdr:nvSpPr>
        <xdr:cNvPr id="30" name="角丸四角形吹き出し 29"/>
        <xdr:cNvSpPr/>
      </xdr:nvSpPr>
      <xdr:spPr>
        <a:xfrm>
          <a:off x="2273299" y="9376832"/>
          <a:ext cx="1748367" cy="423335"/>
        </a:xfrm>
        <a:prstGeom prst="wedgeRoundRectCallout">
          <a:avLst>
            <a:gd name="adj1" fmla="val -62095"/>
            <a:gd name="adj2" fmla="val -119390"/>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xdr:txBody>
    </xdr:sp>
    <xdr:clientData/>
  </xdr:twoCellAnchor>
  <xdr:twoCellAnchor>
    <xdr:from>
      <xdr:col>2</xdr:col>
      <xdr:colOff>28575</xdr:colOff>
      <xdr:row>70</xdr:row>
      <xdr:rowOff>57150</xdr:rowOff>
    </xdr:from>
    <xdr:to>
      <xdr:col>2</xdr:col>
      <xdr:colOff>676275</xdr:colOff>
      <xdr:row>73</xdr:row>
      <xdr:rowOff>50800</xdr:rowOff>
    </xdr:to>
    <xdr:sp macro="" textlink="">
      <xdr:nvSpPr>
        <xdr:cNvPr id="31" name="下矢印 30"/>
        <xdr:cNvSpPr/>
      </xdr:nvSpPr>
      <xdr:spPr>
        <a:xfrm>
          <a:off x="1400175" y="4048125"/>
          <a:ext cx="647700" cy="508000"/>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J</a:t>
          </a:r>
          <a:r>
            <a:rPr kumimoji="1" lang="en-US" altLang="ja-JP" sz="800"/>
            <a:t>w</a:t>
          </a:r>
          <a:endParaRPr kumimoji="1" lang="ja-JP" altLang="en-US" sz="800"/>
        </a:p>
      </xdr:txBody>
    </xdr:sp>
    <xdr:clientData/>
  </xdr:twoCellAnchor>
  <xdr:twoCellAnchor>
    <xdr:from>
      <xdr:col>11</xdr:col>
      <xdr:colOff>35719</xdr:colOff>
      <xdr:row>70</xdr:row>
      <xdr:rowOff>11906</xdr:rowOff>
    </xdr:from>
    <xdr:to>
      <xdr:col>11</xdr:col>
      <xdr:colOff>683419</xdr:colOff>
      <xdr:row>73</xdr:row>
      <xdr:rowOff>5556</xdr:rowOff>
    </xdr:to>
    <xdr:sp macro="" textlink="">
      <xdr:nvSpPr>
        <xdr:cNvPr id="33" name="下矢印 32"/>
        <xdr:cNvSpPr/>
      </xdr:nvSpPr>
      <xdr:spPr>
        <a:xfrm>
          <a:off x="8265319" y="4002881"/>
          <a:ext cx="647700" cy="508000"/>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J</a:t>
          </a:r>
          <a:r>
            <a:rPr kumimoji="1" lang="en-US" altLang="ja-JP" sz="800"/>
            <a:t>w</a:t>
          </a:r>
          <a:endParaRPr kumimoji="1" lang="ja-JP" altLang="en-US" sz="800"/>
        </a:p>
      </xdr:txBody>
    </xdr:sp>
    <xdr:clientData/>
  </xdr:twoCellAnchor>
  <xdr:twoCellAnchor>
    <xdr:from>
      <xdr:col>3</xdr:col>
      <xdr:colOff>560916</xdr:colOff>
      <xdr:row>76</xdr:row>
      <xdr:rowOff>0</xdr:rowOff>
    </xdr:from>
    <xdr:to>
      <xdr:col>8</xdr:col>
      <xdr:colOff>627591</xdr:colOff>
      <xdr:row>93</xdr:row>
      <xdr:rowOff>11643</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687916</xdr:colOff>
      <xdr:row>76</xdr:row>
      <xdr:rowOff>0</xdr:rowOff>
    </xdr:from>
    <xdr:to>
      <xdr:col>15</xdr:col>
      <xdr:colOff>66674</xdr:colOff>
      <xdr:row>93</xdr:row>
      <xdr:rowOff>11643</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180975</xdr:colOff>
      <xdr:row>12</xdr:row>
      <xdr:rowOff>57150</xdr:rowOff>
    </xdr:from>
    <xdr:to>
      <xdr:col>12</xdr:col>
      <xdr:colOff>0</xdr:colOff>
      <xdr:row>27</xdr:row>
      <xdr:rowOff>161925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xdr:row>
      <xdr:rowOff>2116</xdr:rowOff>
    </xdr:from>
    <xdr:to>
      <xdr:col>12</xdr:col>
      <xdr:colOff>0</xdr:colOff>
      <xdr:row>11</xdr:row>
      <xdr:rowOff>133350</xdr:rowOff>
    </xdr:to>
    <xdr:sp macro="" textlink="">
      <xdr:nvSpPr>
        <xdr:cNvPr id="3" name="テキスト ボックス 2"/>
        <xdr:cNvSpPr txBox="1"/>
      </xdr:nvSpPr>
      <xdr:spPr>
        <a:xfrm>
          <a:off x="28575" y="240241"/>
          <a:ext cx="8201025" cy="1845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l-GR" altLang="ja-JP" sz="1200" b="0" i="0" u="none" strike="noStrike">
              <a:solidFill>
                <a:schemeClr val="dk1"/>
              </a:solidFill>
              <a:latin typeface="+mn-lt"/>
              <a:ea typeface="+mn-ea"/>
              <a:cs typeface="+mn-cs"/>
            </a:rPr>
            <a:t>0.1</a:t>
          </a:r>
          <a:r>
            <a:rPr lang="ja-JP" altLang="en-US" sz="1200" b="0" i="0" u="none" strike="noStrike" baseline="0">
              <a:solidFill>
                <a:schemeClr val="dk1"/>
              </a:solidFill>
              <a:latin typeface="+mn-lt"/>
              <a:ea typeface="+mn-ea"/>
              <a:cs typeface="+mn-cs"/>
            </a:rPr>
            <a:t> </a:t>
          </a:r>
          <a:r>
            <a:rPr lang="el-GR" altLang="ja-JP" sz="1200" b="0" i="0" u="none" strike="noStrike">
              <a:solidFill>
                <a:schemeClr val="dk1"/>
              </a:solidFill>
              <a:latin typeface="+mn-lt"/>
              <a:ea typeface="+mn-ea"/>
              <a:cs typeface="+mn-cs"/>
            </a:rPr>
            <a:t>&lt;</a:t>
          </a:r>
          <a:r>
            <a:rPr lang="en-US" altLang="ja-JP" sz="1200" b="0" i="0" u="none" strike="noStrike">
              <a:solidFill>
                <a:schemeClr val="dk1"/>
              </a:solidFill>
              <a:latin typeface="+mn-lt"/>
              <a:ea typeface="+mn-ea"/>
              <a:cs typeface="+mn-cs"/>
            </a:rPr>
            <a:t> </a:t>
          </a:r>
          <a:r>
            <a:rPr lang="en-US" altLang="ja-JP" sz="1200" b="0" i="0" u="none" strike="noStrike">
              <a:solidFill>
                <a:schemeClr val="dk1"/>
              </a:solidFill>
              <a:latin typeface="Symbol" pitchFamily="18" charset="2"/>
              <a:ea typeface="+mn-ea"/>
              <a:cs typeface="+mn-cs"/>
            </a:rPr>
            <a:t>q</a:t>
          </a:r>
          <a:r>
            <a:rPr lang="en-US" altLang="ja-JP" sz="1200" b="0" i="0" u="none" strike="noStrike">
              <a:solidFill>
                <a:schemeClr val="dk1"/>
              </a:solidFill>
              <a:latin typeface="+mn-lt"/>
              <a:ea typeface="+mn-ea"/>
              <a:cs typeface="+mn-cs"/>
            </a:rPr>
            <a:t> </a:t>
          </a:r>
          <a:r>
            <a:rPr lang="el-GR" altLang="ja-JP" sz="1200" b="0" i="0" u="none" strike="noStrike">
              <a:solidFill>
                <a:schemeClr val="dk1"/>
              </a:solidFill>
              <a:latin typeface="+mn-lt"/>
              <a:ea typeface="+mn-ea"/>
              <a:cs typeface="+mn-cs"/>
            </a:rPr>
            <a:t>&lt;0.5</a:t>
          </a:r>
          <a:r>
            <a:rPr lang="ja-JP" altLang="en-US" sz="1200" b="0" i="0" u="none" strike="noStrike">
              <a:solidFill>
                <a:schemeClr val="dk1"/>
              </a:solidFill>
              <a:latin typeface="+mn-lt"/>
              <a:ea typeface="+mn-ea"/>
              <a:cs typeface="+mn-cs"/>
            </a:rPr>
            <a:t>の範囲におけるマトリックポテンシャル－水分関数が、次の理論曲線で表される。</a:t>
          </a:r>
          <a:r>
            <a:rPr lang="ja-JP" altLang="en-US" sz="1200"/>
            <a:t> </a:t>
          </a:r>
          <a:endParaRPr lang="en-US" altLang="ja-JP" sz="1200"/>
        </a:p>
        <a:p>
          <a:pPr algn="l"/>
          <a:endParaRPr kumimoji="1" lang="en-US" altLang="ja-JP" sz="1200"/>
        </a:p>
        <a:p>
          <a:pPr algn="l"/>
          <a:endParaRPr kumimoji="1" lang="en-US" altLang="ja-JP" sz="1200"/>
        </a:p>
        <a:p>
          <a:pPr algn="l"/>
          <a:endParaRPr kumimoji="1" lang="en-US" altLang="ja-JP" sz="1200"/>
        </a:p>
        <a:p>
          <a:pPr algn="l"/>
          <a:r>
            <a:rPr kumimoji="1" lang="en-US" altLang="ja-JP" sz="1200"/>
            <a:t>(a)</a:t>
          </a:r>
          <a:r>
            <a:rPr kumimoji="1" lang="ja-JP" altLang="en-US" sz="1200" baseline="0"/>
            <a:t> </a:t>
          </a:r>
          <a:r>
            <a:rPr kumimoji="1" lang="en-US" altLang="ja-JP" sz="1200" baseline="0">
              <a:latin typeface="Symbol" pitchFamily="18" charset="2"/>
            </a:rPr>
            <a:t>q</a:t>
          </a:r>
          <a:r>
            <a:rPr kumimoji="1" lang="en-US" altLang="ja-JP" sz="1200" baseline="0"/>
            <a:t> </a:t>
          </a:r>
          <a:r>
            <a:rPr kumimoji="1" lang="el-GR" altLang="ja-JP" sz="1200"/>
            <a:t>=</a:t>
          </a:r>
          <a:r>
            <a:rPr kumimoji="1" lang="en-US" altLang="ja-JP" sz="1200"/>
            <a:t> </a:t>
          </a:r>
          <a:r>
            <a:rPr kumimoji="1" lang="el-GR" altLang="ja-JP" sz="1200"/>
            <a:t>0.1</a:t>
          </a:r>
          <a:r>
            <a:rPr kumimoji="1" lang="ja-JP" altLang="el-GR" sz="1200"/>
            <a:t>、</a:t>
          </a:r>
          <a:r>
            <a:rPr kumimoji="1" lang="el-GR" altLang="ja-JP" sz="1200"/>
            <a:t>0.2</a:t>
          </a:r>
          <a:r>
            <a:rPr kumimoji="1" lang="ja-JP" altLang="el-GR" sz="1200"/>
            <a:t>、</a:t>
          </a:r>
          <a:r>
            <a:rPr kumimoji="1" lang="el-GR" altLang="ja-JP" sz="1200"/>
            <a:t>0.3</a:t>
          </a:r>
          <a:r>
            <a:rPr kumimoji="1" lang="ja-JP" altLang="el-GR" sz="1200"/>
            <a:t>、</a:t>
          </a:r>
          <a:r>
            <a:rPr kumimoji="1" lang="el-GR" altLang="ja-JP" sz="1200"/>
            <a:t>0.4</a:t>
          </a:r>
          <a:r>
            <a:rPr kumimoji="1" lang="ja-JP" altLang="el-GR" sz="1200"/>
            <a:t>、</a:t>
          </a:r>
          <a:r>
            <a:rPr kumimoji="1" lang="el-GR" altLang="ja-JP" sz="1200"/>
            <a:t>0.5</a:t>
          </a:r>
          <a:r>
            <a:rPr kumimoji="1" lang="ja-JP" altLang="en-US" sz="1200"/>
            <a:t>における</a:t>
          </a:r>
          <a:r>
            <a:rPr kumimoji="1" lang="en-US" altLang="ja-JP" sz="1200" i="1"/>
            <a:t>h</a:t>
          </a:r>
          <a:r>
            <a:rPr kumimoji="1" lang="en-US" altLang="ja-JP" sz="1200"/>
            <a:t>(</a:t>
          </a:r>
          <a:r>
            <a:rPr kumimoji="1" lang="en-US" altLang="ja-JP" sz="1200">
              <a:latin typeface="Symbol" pitchFamily="18" charset="2"/>
            </a:rPr>
            <a:t>q</a:t>
          </a:r>
          <a:r>
            <a:rPr kumimoji="1" lang="el-GR" altLang="ja-JP" sz="1200"/>
            <a:t>)</a:t>
          </a:r>
          <a:r>
            <a:rPr kumimoji="1" lang="ja-JP" altLang="en-US" sz="1200"/>
            <a:t>を計算しなさい。</a:t>
          </a:r>
          <a:endParaRPr kumimoji="1" lang="en-US" altLang="ja-JP" sz="1200"/>
        </a:p>
        <a:p>
          <a:pPr algn="l"/>
          <a:r>
            <a:rPr kumimoji="1" lang="en-US" altLang="ja-JP" sz="1200"/>
            <a:t>(b) </a:t>
          </a:r>
          <a:r>
            <a:rPr kumimoji="1" lang="ja-JP" altLang="en-US" sz="1200"/>
            <a:t>各水分量領域</a:t>
          </a:r>
          <a:r>
            <a:rPr kumimoji="1" lang="en-US" altLang="ja-JP" sz="1200"/>
            <a:t>(</a:t>
          </a:r>
          <a:r>
            <a:rPr kumimoji="1" lang="en-US" altLang="ja-JP" sz="1200">
              <a:latin typeface="Symbol" pitchFamily="18" charset="2"/>
            </a:rPr>
            <a:t>Dq</a:t>
          </a:r>
          <a:r>
            <a:rPr kumimoji="1" lang="en-US" altLang="ja-JP" sz="1200" baseline="0"/>
            <a:t> </a:t>
          </a:r>
          <a:r>
            <a:rPr kumimoji="1" lang="el-GR" altLang="ja-JP" sz="1200"/>
            <a:t>=</a:t>
          </a:r>
          <a:r>
            <a:rPr kumimoji="1" lang="en-US" altLang="ja-JP" sz="1200"/>
            <a:t> </a:t>
          </a:r>
          <a:r>
            <a:rPr kumimoji="1" lang="el-GR" altLang="ja-JP" sz="1200"/>
            <a:t>0.1-0.2</a:t>
          </a:r>
          <a:r>
            <a:rPr kumimoji="1" lang="ja-JP" altLang="el-GR" sz="1200"/>
            <a:t>、</a:t>
          </a:r>
          <a:r>
            <a:rPr kumimoji="1" lang="el-GR" altLang="ja-JP" sz="1200"/>
            <a:t>0.2-0.3</a:t>
          </a:r>
          <a:r>
            <a:rPr kumimoji="1" lang="ja-JP" altLang="el-GR" sz="1200"/>
            <a:t>、</a:t>
          </a:r>
          <a:r>
            <a:rPr kumimoji="1" lang="el-GR" altLang="ja-JP" sz="1200"/>
            <a:t>0.3-0.4</a:t>
          </a:r>
          <a:r>
            <a:rPr kumimoji="1" lang="ja-JP" altLang="el-GR" sz="1200"/>
            <a:t>、</a:t>
          </a:r>
          <a:r>
            <a:rPr kumimoji="1" lang="el-GR" altLang="ja-JP" sz="1200"/>
            <a:t>0.4-0.5)</a:t>
          </a:r>
          <a:r>
            <a:rPr kumimoji="1" lang="ja-JP" altLang="en-US" sz="1200"/>
            <a:t>に対して、同じ</a:t>
          </a:r>
          <a:r>
            <a:rPr kumimoji="1" lang="en-US" altLang="ja-JP" sz="1200" i="1"/>
            <a:t>h</a:t>
          </a:r>
          <a:r>
            <a:rPr kumimoji="1" lang="en-US" altLang="ja-JP" sz="1200"/>
            <a:t>(</a:t>
          </a:r>
          <a:r>
            <a:rPr kumimoji="1" lang="en-US" altLang="ja-JP" sz="1200">
              <a:latin typeface="Symbol" pitchFamily="18" charset="2"/>
            </a:rPr>
            <a:t>q</a:t>
          </a:r>
          <a:r>
            <a:rPr kumimoji="1" lang="el-GR" altLang="ja-JP" sz="1200"/>
            <a:t>)</a:t>
          </a:r>
          <a:r>
            <a:rPr kumimoji="1" lang="ja-JP" altLang="en-US" sz="1200"/>
            <a:t>曲線をもつ毛管モデルの毛管の半径と</a:t>
          </a:r>
          <a:endParaRPr kumimoji="1" lang="en-US" altLang="ja-JP" sz="1200"/>
        </a:p>
        <a:p>
          <a:pPr algn="l"/>
          <a:r>
            <a:rPr kumimoji="1" lang="ja-JP" altLang="en-US" sz="1200"/>
            <a:t>　　単位面積当たりの本数を計算しなさい。</a:t>
          </a:r>
          <a:r>
            <a:rPr kumimoji="1" lang="en-US" altLang="ja-JP" sz="1200"/>
            <a:t>(</a:t>
          </a:r>
          <a:r>
            <a:rPr kumimoji="1" lang="en-US" altLang="ja-JP" sz="1200">
              <a:latin typeface="Symbol" pitchFamily="18" charset="2"/>
            </a:rPr>
            <a:t>s</a:t>
          </a:r>
          <a:r>
            <a:rPr kumimoji="1" lang="en-US" altLang="ja-JP" sz="1200"/>
            <a:t> </a:t>
          </a:r>
          <a:r>
            <a:rPr kumimoji="1" lang="el-GR" altLang="ja-JP" sz="1200"/>
            <a:t>=</a:t>
          </a:r>
          <a:r>
            <a:rPr kumimoji="1" lang="en-US" altLang="ja-JP" sz="1200"/>
            <a:t> </a:t>
          </a:r>
          <a:r>
            <a:rPr kumimoji="1" lang="el-GR" altLang="ja-JP" sz="1200"/>
            <a:t>7.27×10</a:t>
          </a:r>
          <a:r>
            <a:rPr kumimoji="1" lang="el-GR" altLang="ja-JP" sz="1200" baseline="30000"/>
            <a:t>-2</a:t>
          </a:r>
          <a:r>
            <a:rPr kumimoji="1" lang="en-US" altLang="ja-JP" sz="1200"/>
            <a:t> J m</a:t>
          </a:r>
          <a:r>
            <a:rPr kumimoji="1" lang="en-US" altLang="ja-JP" sz="1200" baseline="30000"/>
            <a:t>-2</a:t>
          </a:r>
          <a:r>
            <a:rPr kumimoji="1" lang="en-US" altLang="ja-JP" sz="1200"/>
            <a:t>)</a:t>
          </a:r>
        </a:p>
        <a:p>
          <a:pPr algn="l"/>
          <a:r>
            <a:rPr kumimoji="1" lang="en-US" altLang="ja-JP" sz="1200"/>
            <a:t>(c) </a:t>
          </a:r>
          <a:r>
            <a:rPr kumimoji="1" lang="ja-JP" altLang="en-US" sz="1200"/>
            <a:t>この毛管モデルで表される多孔質体が飽和していて水頭勾配が</a:t>
          </a:r>
          <a:r>
            <a:rPr kumimoji="1" lang="en-US" altLang="ja-JP" sz="1200"/>
            <a:t>1</a:t>
          </a:r>
          <a:r>
            <a:rPr kumimoji="1" lang="ja-JP" altLang="en-US" sz="1200"/>
            <a:t>のとき、全流量に対する各大きさの毛管束を</a:t>
          </a:r>
          <a:endParaRPr kumimoji="1" lang="en-US" altLang="ja-JP" sz="1200"/>
        </a:p>
        <a:p>
          <a:pPr algn="l"/>
          <a:r>
            <a:rPr kumimoji="1" lang="ja-JP" altLang="en-US" sz="1200"/>
            <a:t>　　流れる割合を求めなさい。</a:t>
          </a:r>
          <a:endParaRPr kumimoji="1" lang="en-US" altLang="ja-JP" sz="1200"/>
        </a:p>
        <a:p>
          <a:pPr algn="l"/>
          <a:endParaRPr kumimoji="1" lang="ja-JP" altLang="en-US" sz="1200"/>
        </a:p>
      </xdr:txBody>
    </xdr:sp>
    <xdr:clientData/>
  </xdr:twoCellAnchor>
  <xdr:twoCellAnchor>
    <xdr:from>
      <xdr:col>0</xdr:col>
      <xdr:colOff>66675</xdr:colOff>
      <xdr:row>50</xdr:row>
      <xdr:rowOff>142875</xdr:rowOff>
    </xdr:from>
    <xdr:to>
      <xdr:col>4</xdr:col>
      <xdr:colOff>571500</xdr:colOff>
      <xdr:row>67</xdr:row>
      <xdr:rowOff>9525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638175</xdr:colOff>
      <xdr:row>50</xdr:row>
      <xdr:rowOff>142875</xdr:rowOff>
    </xdr:from>
    <xdr:to>
      <xdr:col>9</xdr:col>
      <xdr:colOff>457200</xdr:colOff>
      <xdr:row>67</xdr:row>
      <xdr:rowOff>9525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50</xdr:row>
      <xdr:rowOff>142875</xdr:rowOff>
    </xdr:from>
    <xdr:to>
      <xdr:col>14</xdr:col>
      <xdr:colOff>504825</xdr:colOff>
      <xdr:row>67</xdr:row>
      <xdr:rowOff>9525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50</xdr:row>
      <xdr:rowOff>142875</xdr:rowOff>
    </xdr:from>
    <xdr:to>
      <xdr:col>19</xdr:col>
      <xdr:colOff>504825</xdr:colOff>
      <xdr:row>67</xdr:row>
      <xdr:rowOff>9525</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68</xdr:row>
      <xdr:rowOff>0</xdr:rowOff>
    </xdr:from>
    <xdr:to>
      <xdr:col>14</xdr:col>
      <xdr:colOff>504825</xdr:colOff>
      <xdr:row>84</xdr:row>
      <xdr:rowOff>38100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68</xdr:row>
      <xdr:rowOff>0</xdr:rowOff>
    </xdr:from>
    <xdr:to>
      <xdr:col>19</xdr:col>
      <xdr:colOff>504825</xdr:colOff>
      <xdr:row>84</xdr:row>
      <xdr:rowOff>38100</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638175</xdr:colOff>
      <xdr:row>68</xdr:row>
      <xdr:rowOff>0</xdr:rowOff>
    </xdr:from>
    <xdr:to>
      <xdr:col>9</xdr:col>
      <xdr:colOff>457200</xdr:colOff>
      <xdr:row>84</xdr:row>
      <xdr:rowOff>38100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0.31965</cdr:x>
      <cdr:y>0.08562</cdr:y>
    </cdr:from>
    <cdr:to>
      <cdr:x>0.58061</cdr:x>
      <cdr:y>0.24313</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38225" y="238125"/>
          <a:ext cx="847619" cy="438095"/>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0.53666</cdr:x>
      <cdr:y>0.05479</cdr:y>
    </cdr:from>
    <cdr:to>
      <cdr:x>0.87386</cdr:x>
      <cdr:y>0.22258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43075" y="152400"/>
          <a:ext cx="1095238" cy="4666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28575</xdr:colOff>
      <xdr:row>1</xdr:row>
      <xdr:rowOff>2115</xdr:rowOff>
    </xdr:from>
    <xdr:to>
      <xdr:col>12</xdr:col>
      <xdr:colOff>0</xdr:colOff>
      <xdr:row>16</xdr:row>
      <xdr:rowOff>152400</xdr:rowOff>
    </xdr:to>
    <xdr:sp macro="" textlink="">
      <xdr:nvSpPr>
        <xdr:cNvPr id="2" name="テキスト ボックス 1"/>
        <xdr:cNvSpPr txBox="1"/>
      </xdr:nvSpPr>
      <xdr:spPr>
        <a:xfrm>
          <a:off x="28575" y="240240"/>
          <a:ext cx="8201025" cy="2722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200" b="0" i="0" u="none" strike="noStrike">
              <a:solidFill>
                <a:schemeClr val="dk1"/>
              </a:solidFill>
              <a:latin typeface="+mn-lt"/>
              <a:ea typeface="+mn-ea"/>
              <a:cs typeface="+mn-cs"/>
            </a:rPr>
            <a:t>定常流れの問題について、</a:t>
          </a:r>
          <a:r>
            <a:rPr lang="en-US" altLang="ja-JP" sz="1200" b="0" i="0" u="none" strike="noStrike">
              <a:solidFill>
                <a:schemeClr val="dk1"/>
              </a:solidFill>
              <a:latin typeface="+mn-lt"/>
              <a:ea typeface="+mn-ea"/>
              <a:cs typeface="+mn-cs"/>
            </a:rPr>
            <a:t>3.3.4</a:t>
          </a:r>
          <a:r>
            <a:rPr lang="ja-JP" altLang="en-US" sz="1200" b="0" i="0" u="none" strike="noStrike">
              <a:solidFill>
                <a:schemeClr val="dk1"/>
              </a:solidFill>
              <a:latin typeface="+mn-lt"/>
              <a:ea typeface="+mn-ea"/>
              <a:cs typeface="+mn-cs"/>
            </a:rPr>
            <a:t>節の方法を用いる。</a:t>
          </a:r>
          <a:endParaRPr lang="en-US" altLang="ja-JP" sz="1200"/>
        </a:p>
        <a:p>
          <a:pPr algn="l"/>
          <a:r>
            <a:rPr kumimoji="1" lang="en-US" altLang="ja-JP" sz="1200"/>
            <a:t>(a)</a:t>
          </a:r>
          <a:r>
            <a:rPr kumimoji="1" lang="ja-JP" altLang="en-US" sz="1200" baseline="0"/>
            <a:t> 定常で水平な流れに対して、</a:t>
          </a:r>
          <a:r>
            <a:rPr kumimoji="1" lang="en-US" altLang="ja-JP" sz="1200" baseline="0"/>
            <a:t>(3.34)</a:t>
          </a:r>
          <a:r>
            <a:rPr kumimoji="1" lang="ja-JP" altLang="en-US" sz="1200" baseline="0"/>
            <a:t>式の導出と同じ方法で、次の微分型の式からバッキンガム－ダルシーフラックス則の</a:t>
          </a:r>
          <a:endParaRPr kumimoji="1" lang="en-US" altLang="ja-JP" sz="1200" baseline="0"/>
        </a:p>
        <a:p>
          <a:pPr algn="l"/>
          <a:r>
            <a:rPr kumimoji="1" lang="ja-JP" altLang="en-US" sz="1200" baseline="0"/>
            <a:t>　　積分型を計算しなさい。</a:t>
          </a:r>
          <a:endParaRPr kumimoji="1" lang="en-US" altLang="ja-JP" sz="1200"/>
        </a:p>
        <a:p>
          <a:pPr algn="l"/>
          <a:endParaRPr kumimoji="1" lang="en-US" altLang="ja-JP" sz="1200"/>
        </a:p>
        <a:p>
          <a:pPr algn="l"/>
          <a:endParaRPr kumimoji="1" lang="en-US" altLang="ja-JP" sz="1200"/>
        </a:p>
        <a:p>
          <a:pPr algn="l"/>
          <a:endParaRPr kumimoji="1" lang="en-US" altLang="ja-JP" sz="1200"/>
        </a:p>
        <a:p>
          <a:pPr algn="l"/>
          <a:r>
            <a:rPr kumimoji="1" lang="en-US" altLang="ja-JP" sz="1200"/>
            <a:t>(b) </a:t>
          </a:r>
          <a:r>
            <a:rPr kumimoji="1" lang="ja-JP" altLang="en-US" sz="1200"/>
            <a:t>カラム左端を飽和に保つとき、最大水平蒸発速度</a:t>
          </a:r>
          <a:r>
            <a:rPr kumimoji="1" lang="en-US" altLang="ja-JP" sz="1200" i="1"/>
            <a:t>E</a:t>
          </a:r>
          <a:r>
            <a:rPr kumimoji="1" lang="ja-JP" altLang="en-US" sz="1200"/>
            <a:t>とカラムの長さ</a:t>
          </a:r>
          <a:r>
            <a:rPr kumimoji="1" lang="en-US" altLang="ja-JP" sz="1200" i="1"/>
            <a:t>L</a:t>
          </a:r>
          <a:r>
            <a:rPr kumimoji="1" lang="ja-JP" altLang="en-US" sz="1200"/>
            <a:t>の関係式を求めなさい。ただし、不飽和透水係数は</a:t>
          </a:r>
          <a:endParaRPr kumimoji="1" lang="en-US" altLang="ja-JP" sz="1200"/>
        </a:p>
        <a:p>
          <a:pPr algn="l"/>
          <a:r>
            <a:rPr kumimoji="1" lang="ja-JP" altLang="en-US" sz="1200"/>
            <a:t>　　次式で表されるとする。</a:t>
          </a:r>
          <a:endParaRPr kumimoji="1" lang="en-US" altLang="ja-JP" sz="1200"/>
        </a:p>
        <a:p>
          <a:pPr algn="l"/>
          <a:endParaRPr kumimoji="1" lang="en-US" altLang="ja-JP" sz="1200"/>
        </a:p>
        <a:p>
          <a:pPr algn="l"/>
          <a:endParaRPr kumimoji="1" lang="en-US" altLang="ja-JP" sz="1200"/>
        </a:p>
        <a:p>
          <a:pPr algn="l"/>
          <a:endParaRPr kumimoji="1" lang="en-US" altLang="ja-JP" sz="1200"/>
        </a:p>
        <a:p>
          <a:pPr algn="l"/>
          <a:r>
            <a:rPr kumimoji="1" lang="en-US" altLang="ja-JP" sz="1200"/>
            <a:t>(c) </a:t>
          </a:r>
          <a:r>
            <a:rPr kumimoji="1" lang="ja-JP" altLang="en-US" sz="1200"/>
            <a:t>上の関係式を、鉛直方向の蒸発（</a:t>
          </a:r>
          <a:r>
            <a:rPr kumimoji="1" lang="en-US" altLang="ja-JP" sz="1200" i="1"/>
            <a:t>N</a:t>
          </a:r>
          <a:r>
            <a:rPr kumimoji="1" lang="en-US" altLang="ja-JP" sz="1200"/>
            <a:t> = 2</a:t>
          </a:r>
          <a:r>
            <a:rPr kumimoji="1" lang="ja-JP" altLang="en-US" sz="1200"/>
            <a:t>とした</a:t>
          </a:r>
          <a:r>
            <a:rPr kumimoji="1" lang="en-US" altLang="ja-JP" sz="1200"/>
            <a:t>(3.49)</a:t>
          </a:r>
          <a:r>
            <a:rPr kumimoji="1" lang="ja-JP" altLang="en-US" sz="1200"/>
            <a:t>式）の結果と比較しなさい。ある</a:t>
          </a:r>
          <a:r>
            <a:rPr kumimoji="1" lang="en-US" altLang="ja-JP" sz="1200" i="1"/>
            <a:t>L</a:t>
          </a:r>
          <a:r>
            <a:rPr kumimoji="1" lang="ja-JP" altLang="en-US" sz="1200"/>
            <a:t>に対してどちらの</a:t>
          </a:r>
          <a:r>
            <a:rPr kumimoji="1" lang="en-US" altLang="ja-JP" sz="1200" i="1"/>
            <a:t>E</a:t>
          </a:r>
          <a:r>
            <a:rPr kumimoji="1" lang="ja-JP" altLang="en-US" sz="1200"/>
            <a:t>が大きいか？</a:t>
          </a:r>
          <a:endParaRPr kumimoji="1" lang="en-US" altLang="ja-JP" sz="1200"/>
        </a:p>
        <a:p>
          <a:pPr algn="l"/>
          <a:r>
            <a:rPr kumimoji="1" lang="ja-JP" altLang="en-US" sz="1200"/>
            <a:t>　　理由を考察しなさい。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49.bin"/><Relationship Id="rId3" Type="http://schemas.openxmlformats.org/officeDocument/2006/relationships/vmlDrawing" Target="../drawings/vmlDrawing10.vml"/><Relationship Id="rId7" Type="http://schemas.openxmlformats.org/officeDocument/2006/relationships/oleObject" Target="../embeddings/oleObject48.bin"/><Relationship Id="rId2" Type="http://schemas.openxmlformats.org/officeDocument/2006/relationships/drawing" Target="../drawings/drawing12.xml"/><Relationship Id="rId1" Type="http://schemas.openxmlformats.org/officeDocument/2006/relationships/printerSettings" Target="../printerSettings/printerSettings9.bin"/><Relationship Id="rId6" Type="http://schemas.openxmlformats.org/officeDocument/2006/relationships/oleObject" Target="../embeddings/oleObject47.bin"/><Relationship Id="rId5" Type="http://schemas.openxmlformats.org/officeDocument/2006/relationships/oleObject" Target="../embeddings/oleObject46.bin"/><Relationship Id="rId10" Type="http://schemas.openxmlformats.org/officeDocument/2006/relationships/control" Target="../activeX/activeX40.xml"/><Relationship Id="rId4" Type="http://schemas.openxmlformats.org/officeDocument/2006/relationships/oleObject" Target="../embeddings/oleObject45.bin"/><Relationship Id="rId9" Type="http://schemas.openxmlformats.org/officeDocument/2006/relationships/control" Target="../activeX/activeX3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0.bin"/><Relationship Id="rId5" Type="http://schemas.openxmlformats.org/officeDocument/2006/relationships/oleObject" Target="../embeddings/oleObject51.bin"/><Relationship Id="rId4" Type="http://schemas.openxmlformats.org/officeDocument/2006/relationships/oleObject" Target="../embeddings/oleObject50.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control" Target="../activeX/activeX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1.xml"/><Relationship Id="rId11" Type="http://schemas.openxmlformats.org/officeDocument/2006/relationships/control" Target="../activeX/activeX6.xml"/><Relationship Id="rId5" Type="http://schemas.openxmlformats.org/officeDocument/2006/relationships/oleObject" Target="../embeddings/oleObject6.bin"/><Relationship Id="rId10" Type="http://schemas.openxmlformats.org/officeDocument/2006/relationships/control" Target="../activeX/activeX5.xml"/><Relationship Id="rId4" Type="http://schemas.openxmlformats.org/officeDocument/2006/relationships/oleObject" Target="../embeddings/oleObject5.bin"/><Relationship Id="rId9"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2.xml"/><Relationship Id="rId18" Type="http://schemas.openxmlformats.org/officeDocument/2006/relationships/control" Target="../activeX/activeX17.xml"/><Relationship Id="rId3" Type="http://schemas.openxmlformats.org/officeDocument/2006/relationships/vmlDrawing" Target="../drawings/vmlDrawing4.vml"/><Relationship Id="rId7" Type="http://schemas.openxmlformats.org/officeDocument/2006/relationships/oleObject" Target="../embeddings/oleObject11.bin"/><Relationship Id="rId12" Type="http://schemas.openxmlformats.org/officeDocument/2006/relationships/control" Target="../activeX/activeX11.xml"/><Relationship Id="rId17" Type="http://schemas.openxmlformats.org/officeDocument/2006/relationships/control" Target="../activeX/activeX16.xml"/><Relationship Id="rId2" Type="http://schemas.openxmlformats.org/officeDocument/2006/relationships/drawing" Target="../drawings/drawing4.xml"/><Relationship Id="rId16" Type="http://schemas.openxmlformats.org/officeDocument/2006/relationships/control" Target="../activeX/activeX15.xml"/><Relationship Id="rId1" Type="http://schemas.openxmlformats.org/officeDocument/2006/relationships/printerSettings" Target="../printerSettings/printerSettings3.bin"/><Relationship Id="rId6" Type="http://schemas.openxmlformats.org/officeDocument/2006/relationships/oleObject" Target="../embeddings/oleObject10.bin"/><Relationship Id="rId11" Type="http://schemas.openxmlformats.org/officeDocument/2006/relationships/control" Target="../activeX/activeX10.xml"/><Relationship Id="rId5" Type="http://schemas.openxmlformats.org/officeDocument/2006/relationships/oleObject" Target="../embeddings/oleObject9.bin"/><Relationship Id="rId15" Type="http://schemas.openxmlformats.org/officeDocument/2006/relationships/control" Target="../activeX/activeX14.xml"/><Relationship Id="rId10" Type="http://schemas.openxmlformats.org/officeDocument/2006/relationships/control" Target="../activeX/activeX9.xml"/><Relationship Id="rId4" Type="http://schemas.openxmlformats.org/officeDocument/2006/relationships/oleObject" Target="../embeddings/oleObject8.bin"/><Relationship Id="rId9" Type="http://schemas.openxmlformats.org/officeDocument/2006/relationships/control" Target="../activeX/activeX8.xml"/><Relationship Id="rId14" Type="http://schemas.openxmlformats.org/officeDocument/2006/relationships/control" Target="../activeX/activeX13.xml"/></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6.bin"/><Relationship Id="rId13" Type="http://schemas.openxmlformats.org/officeDocument/2006/relationships/control" Target="../activeX/activeX19.xml"/><Relationship Id="rId18" Type="http://schemas.openxmlformats.org/officeDocument/2006/relationships/control" Target="../activeX/activeX24.xml"/><Relationship Id="rId3" Type="http://schemas.openxmlformats.org/officeDocument/2006/relationships/vmlDrawing" Target="../drawings/vmlDrawing5.vml"/><Relationship Id="rId21" Type="http://schemas.openxmlformats.org/officeDocument/2006/relationships/control" Target="../activeX/activeX27.xml"/><Relationship Id="rId7" Type="http://schemas.openxmlformats.org/officeDocument/2006/relationships/oleObject" Target="../embeddings/oleObject15.bin"/><Relationship Id="rId12" Type="http://schemas.openxmlformats.org/officeDocument/2006/relationships/control" Target="../activeX/activeX18.xml"/><Relationship Id="rId17" Type="http://schemas.openxmlformats.org/officeDocument/2006/relationships/control" Target="../activeX/activeX23.xml"/><Relationship Id="rId25" Type="http://schemas.openxmlformats.org/officeDocument/2006/relationships/control" Target="../activeX/activeX31.xml"/><Relationship Id="rId2" Type="http://schemas.openxmlformats.org/officeDocument/2006/relationships/drawing" Target="../drawings/drawing5.xml"/><Relationship Id="rId16" Type="http://schemas.openxmlformats.org/officeDocument/2006/relationships/control" Target="../activeX/activeX22.xml"/><Relationship Id="rId20" Type="http://schemas.openxmlformats.org/officeDocument/2006/relationships/control" Target="../activeX/activeX26.xml"/><Relationship Id="rId1" Type="http://schemas.openxmlformats.org/officeDocument/2006/relationships/printerSettings" Target="../printerSettings/printerSettings4.bin"/><Relationship Id="rId6" Type="http://schemas.openxmlformats.org/officeDocument/2006/relationships/oleObject" Target="../embeddings/oleObject14.bin"/><Relationship Id="rId11" Type="http://schemas.openxmlformats.org/officeDocument/2006/relationships/oleObject" Target="../embeddings/oleObject19.bin"/><Relationship Id="rId24" Type="http://schemas.openxmlformats.org/officeDocument/2006/relationships/control" Target="../activeX/activeX30.xml"/><Relationship Id="rId5" Type="http://schemas.openxmlformats.org/officeDocument/2006/relationships/oleObject" Target="../embeddings/oleObject13.bin"/><Relationship Id="rId15" Type="http://schemas.openxmlformats.org/officeDocument/2006/relationships/control" Target="../activeX/activeX21.xml"/><Relationship Id="rId23" Type="http://schemas.openxmlformats.org/officeDocument/2006/relationships/control" Target="../activeX/activeX29.xml"/><Relationship Id="rId10" Type="http://schemas.openxmlformats.org/officeDocument/2006/relationships/oleObject" Target="../embeddings/oleObject18.bin"/><Relationship Id="rId19" Type="http://schemas.openxmlformats.org/officeDocument/2006/relationships/control" Target="../activeX/activeX25.xml"/><Relationship Id="rId4" Type="http://schemas.openxmlformats.org/officeDocument/2006/relationships/oleObject" Target="../embeddings/oleObject12.bin"/><Relationship Id="rId9" Type="http://schemas.openxmlformats.org/officeDocument/2006/relationships/oleObject" Target="../embeddings/oleObject17.bin"/><Relationship Id="rId14" Type="http://schemas.openxmlformats.org/officeDocument/2006/relationships/control" Target="../activeX/activeX20.xml"/><Relationship Id="rId22" Type="http://schemas.openxmlformats.org/officeDocument/2006/relationships/control" Target="../activeX/activeX28.xml"/></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24.bin"/><Relationship Id="rId3" Type="http://schemas.openxmlformats.org/officeDocument/2006/relationships/vmlDrawing" Target="../drawings/vmlDrawing6.vml"/><Relationship Id="rId7" Type="http://schemas.openxmlformats.org/officeDocument/2006/relationships/oleObject" Target="../embeddings/oleObject23.bin"/><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oleObject" Target="../embeddings/oleObject22.bin"/><Relationship Id="rId5" Type="http://schemas.openxmlformats.org/officeDocument/2006/relationships/oleObject" Target="../embeddings/oleObject21.bin"/><Relationship Id="rId4" Type="http://schemas.openxmlformats.org/officeDocument/2006/relationships/oleObject" Target="../embeddings/oleObject20.bin"/><Relationship Id="rId9" Type="http://schemas.openxmlformats.org/officeDocument/2006/relationships/oleObject" Target="../embeddings/oleObject25.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30.bin"/><Relationship Id="rId3" Type="http://schemas.openxmlformats.org/officeDocument/2006/relationships/vmlDrawing" Target="../drawings/vmlDrawing7.vml"/><Relationship Id="rId7" Type="http://schemas.openxmlformats.org/officeDocument/2006/relationships/oleObject" Target="../embeddings/oleObject29.bin"/><Relationship Id="rId12" Type="http://schemas.openxmlformats.org/officeDocument/2006/relationships/oleObject" Target="../embeddings/oleObject34.bin"/><Relationship Id="rId2" Type="http://schemas.openxmlformats.org/officeDocument/2006/relationships/drawing" Target="../drawings/drawing9.xml"/><Relationship Id="rId1" Type="http://schemas.openxmlformats.org/officeDocument/2006/relationships/printerSettings" Target="../printerSettings/printerSettings6.bin"/><Relationship Id="rId6" Type="http://schemas.openxmlformats.org/officeDocument/2006/relationships/oleObject" Target="../embeddings/oleObject28.bin"/><Relationship Id="rId11" Type="http://schemas.openxmlformats.org/officeDocument/2006/relationships/oleObject" Target="../embeddings/oleObject33.bin"/><Relationship Id="rId5" Type="http://schemas.openxmlformats.org/officeDocument/2006/relationships/oleObject" Target="../embeddings/oleObject27.bin"/><Relationship Id="rId10" Type="http://schemas.openxmlformats.org/officeDocument/2006/relationships/oleObject" Target="../embeddings/oleObject32.bin"/><Relationship Id="rId4" Type="http://schemas.openxmlformats.org/officeDocument/2006/relationships/oleObject" Target="../embeddings/oleObject26.bin"/><Relationship Id="rId9" Type="http://schemas.openxmlformats.org/officeDocument/2006/relationships/oleObject" Target="../embeddings/oleObject31.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9.bin"/><Relationship Id="rId3" Type="http://schemas.openxmlformats.org/officeDocument/2006/relationships/vmlDrawing" Target="../drawings/vmlDrawing8.vml"/><Relationship Id="rId7" Type="http://schemas.openxmlformats.org/officeDocument/2006/relationships/oleObject" Target="../embeddings/oleObject38.bin"/><Relationship Id="rId2" Type="http://schemas.openxmlformats.org/officeDocument/2006/relationships/drawing" Target="../drawings/drawing10.xml"/><Relationship Id="rId1" Type="http://schemas.openxmlformats.org/officeDocument/2006/relationships/printerSettings" Target="../printerSettings/printerSettings7.bin"/><Relationship Id="rId6" Type="http://schemas.openxmlformats.org/officeDocument/2006/relationships/oleObject" Target="../embeddings/oleObject37.bin"/><Relationship Id="rId5" Type="http://schemas.openxmlformats.org/officeDocument/2006/relationships/oleObject" Target="../embeddings/oleObject36.bin"/><Relationship Id="rId4" Type="http://schemas.openxmlformats.org/officeDocument/2006/relationships/oleObject" Target="../embeddings/oleObject35.bin"/><Relationship Id="rId9" Type="http://schemas.openxmlformats.org/officeDocument/2006/relationships/control" Target="../activeX/activeX32.xml"/></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44.bin"/><Relationship Id="rId13" Type="http://schemas.openxmlformats.org/officeDocument/2006/relationships/control" Target="../activeX/activeX37.xml"/><Relationship Id="rId3" Type="http://schemas.openxmlformats.org/officeDocument/2006/relationships/vmlDrawing" Target="../drawings/vmlDrawing9.vml"/><Relationship Id="rId7" Type="http://schemas.openxmlformats.org/officeDocument/2006/relationships/oleObject" Target="../embeddings/oleObject43.bin"/><Relationship Id="rId12" Type="http://schemas.openxmlformats.org/officeDocument/2006/relationships/control" Target="../activeX/activeX36.xml"/><Relationship Id="rId2" Type="http://schemas.openxmlformats.org/officeDocument/2006/relationships/drawing" Target="../drawings/drawing11.xml"/><Relationship Id="rId1" Type="http://schemas.openxmlformats.org/officeDocument/2006/relationships/printerSettings" Target="../printerSettings/printerSettings8.bin"/><Relationship Id="rId6" Type="http://schemas.openxmlformats.org/officeDocument/2006/relationships/oleObject" Target="../embeddings/oleObject42.bin"/><Relationship Id="rId11" Type="http://schemas.openxmlformats.org/officeDocument/2006/relationships/control" Target="../activeX/activeX35.xml"/><Relationship Id="rId5" Type="http://schemas.openxmlformats.org/officeDocument/2006/relationships/oleObject" Target="../embeddings/oleObject41.bin"/><Relationship Id="rId10" Type="http://schemas.openxmlformats.org/officeDocument/2006/relationships/control" Target="../activeX/activeX34.xml"/><Relationship Id="rId4" Type="http://schemas.openxmlformats.org/officeDocument/2006/relationships/oleObject" Target="../embeddings/oleObject40.bin"/><Relationship Id="rId9" Type="http://schemas.openxmlformats.org/officeDocument/2006/relationships/control" Target="../activeX/activeX33.xml"/><Relationship Id="rId14" Type="http://schemas.openxmlformats.org/officeDocument/2006/relationships/control" Target="../activeX/activeX38.xml"/></Relationships>
</file>

<file path=xl/worksheets/sheet1.xml><?xml version="1.0" encoding="utf-8"?>
<worksheet xmlns="http://schemas.openxmlformats.org/spreadsheetml/2006/main" xmlns:r="http://schemas.openxmlformats.org/officeDocument/2006/relationships">
  <sheetPr codeName="Sheet11"/>
  <dimension ref="A1:M66"/>
  <sheetViews>
    <sheetView tabSelected="1" zoomScale="90" zoomScaleNormal="90" workbookViewId="0"/>
  </sheetViews>
  <sheetFormatPr defaultRowHeight="13.5"/>
  <sheetData>
    <row r="1" spans="1:12" ht="18.75">
      <c r="A1" s="10" t="s">
        <v>33</v>
      </c>
      <c r="L1" t="s">
        <v>50</v>
      </c>
    </row>
    <row r="10" spans="1:12">
      <c r="C10" t="s">
        <v>24</v>
      </c>
    </row>
    <row r="11" spans="1:12">
      <c r="C11" s="16" t="s">
        <v>35</v>
      </c>
      <c r="D11" s="16" t="s">
        <v>36</v>
      </c>
    </row>
    <row r="12" spans="1:12">
      <c r="C12" s="17">
        <v>120</v>
      </c>
      <c r="D12" s="17">
        <v>-750</v>
      </c>
      <c r="E12" s="23">
        <f>C12+D12</f>
        <v>-630</v>
      </c>
      <c r="F12" s="24">
        <f>K35</f>
        <v>6.5116279069767441E-2</v>
      </c>
    </row>
    <row r="13" spans="1:12">
      <c r="C13" s="17">
        <v>100</v>
      </c>
      <c r="D13" s="17">
        <v>-300</v>
      </c>
      <c r="E13" s="23">
        <f t="shared" ref="E13:E18" si="0">C13+D13</f>
        <v>-200</v>
      </c>
      <c r="F13" s="24">
        <f>K37</f>
        <v>0.44210526315789472</v>
      </c>
    </row>
    <row r="14" spans="1:12">
      <c r="C14" s="17">
        <v>70</v>
      </c>
      <c r="D14" s="17">
        <v>-175</v>
      </c>
      <c r="E14" s="23">
        <f t="shared" si="0"/>
        <v>-105</v>
      </c>
      <c r="F14" s="24">
        <f>K39</f>
        <v>0.55999999999999994</v>
      </c>
    </row>
    <row r="15" spans="1:12">
      <c r="C15" s="17">
        <v>40</v>
      </c>
      <c r="D15" s="17">
        <v>-70</v>
      </c>
      <c r="E15" s="23">
        <f t="shared" si="0"/>
        <v>-30</v>
      </c>
      <c r="F15" s="24">
        <f>K41</f>
        <v>1.4</v>
      </c>
    </row>
    <row r="16" spans="1:12">
      <c r="C16" s="17">
        <v>20</v>
      </c>
      <c r="D16" s="17">
        <v>-30</v>
      </c>
      <c r="E16" s="23">
        <f t="shared" si="0"/>
        <v>-10</v>
      </c>
      <c r="F16" s="24">
        <f>K43</f>
        <v>2.3333333333333335</v>
      </c>
    </row>
    <row r="17" spans="3:7">
      <c r="C17" s="17">
        <v>5</v>
      </c>
      <c r="D17" s="17">
        <v>-6</v>
      </c>
      <c r="E17" s="23">
        <f t="shared" si="0"/>
        <v>-1</v>
      </c>
      <c r="F17" s="24">
        <f>K45</f>
        <v>6.9999999999999991</v>
      </c>
    </row>
    <row r="18" spans="3:7">
      <c r="C18" s="18">
        <v>0</v>
      </c>
      <c r="D18" s="18">
        <v>0</v>
      </c>
      <c r="E18" s="23">
        <f t="shared" si="0"/>
        <v>0</v>
      </c>
    </row>
    <row r="28" spans="3:7">
      <c r="C28" s="12" t="s">
        <v>37</v>
      </c>
    </row>
    <row r="30" spans="3:7" ht="15.75">
      <c r="C30" t="s">
        <v>38</v>
      </c>
      <c r="E30">
        <f>G30*10</f>
        <v>140</v>
      </c>
      <c r="F30" t="s">
        <v>41</v>
      </c>
      <c r="G30">
        <v>14</v>
      </c>
    </row>
    <row r="31" spans="3:7" ht="16.5">
      <c r="D31" s="25" t="s">
        <v>40</v>
      </c>
      <c r="E31" s="26">
        <f>E30/100</f>
        <v>1.4</v>
      </c>
      <c r="F31" s="26" t="s">
        <v>39</v>
      </c>
      <c r="G31" t="s">
        <v>48</v>
      </c>
    </row>
    <row r="32" spans="3:7">
      <c r="C32" t="s">
        <v>47</v>
      </c>
    </row>
    <row r="33" spans="3:13" ht="13.5" customHeight="1">
      <c r="C33" s="19" t="s">
        <v>42</v>
      </c>
      <c r="D33" s="19" t="s">
        <v>36</v>
      </c>
      <c r="E33" s="20" t="s">
        <v>43</v>
      </c>
      <c r="F33" s="21" t="s">
        <v>44</v>
      </c>
      <c r="G33" s="21" t="s">
        <v>45</v>
      </c>
      <c r="H33" s="21" t="s">
        <v>46</v>
      </c>
      <c r="I33" s="22"/>
      <c r="J33" s="21"/>
      <c r="K33" s="21"/>
    </row>
    <row r="34" spans="3:13" ht="7.5" customHeight="1">
      <c r="C34" s="163">
        <v>120</v>
      </c>
      <c r="D34" s="163">
        <v>-750</v>
      </c>
      <c r="E34" s="161">
        <f>C34+D34</f>
        <v>-630</v>
      </c>
      <c r="F34" s="22"/>
      <c r="G34" s="21"/>
      <c r="H34" s="21"/>
      <c r="I34" s="21"/>
      <c r="J34" s="21"/>
      <c r="K34" s="21"/>
    </row>
    <row r="35" spans="3:13" ht="7.5" customHeight="1">
      <c r="C35" s="159"/>
      <c r="D35" s="159"/>
      <c r="E35" s="157"/>
      <c r="F35" s="157">
        <f>C34-C36</f>
        <v>20</v>
      </c>
      <c r="G35" s="157">
        <f>E34-E36</f>
        <v>-430</v>
      </c>
      <c r="H35" s="157">
        <f>G35/F35</f>
        <v>-21.5</v>
      </c>
      <c r="I35" s="157">
        <f>(D34+D36)/2</f>
        <v>-525</v>
      </c>
      <c r="J35" s="157">
        <f>ABS(I35)</f>
        <v>525</v>
      </c>
      <c r="K35" s="156">
        <f>-$E$31/H35</f>
        <v>6.5116279069767441E-2</v>
      </c>
      <c r="L35" s="23">
        <f>J35</f>
        <v>525</v>
      </c>
      <c r="M35" s="23">
        <f>K35</f>
        <v>6.5116279069767441E-2</v>
      </c>
    </row>
    <row r="36" spans="3:13" ht="7.5" customHeight="1">
      <c r="C36" s="159">
        <v>100</v>
      </c>
      <c r="D36" s="159">
        <v>-300</v>
      </c>
      <c r="E36" s="157">
        <f t="shared" ref="E36" si="1">C36+D36</f>
        <v>-200</v>
      </c>
      <c r="F36" s="157"/>
      <c r="G36" s="157"/>
      <c r="H36" s="157"/>
      <c r="I36" s="157"/>
      <c r="J36" s="157"/>
      <c r="K36" s="156"/>
      <c r="L36" s="23">
        <f>J37</f>
        <v>237.5</v>
      </c>
      <c r="M36" s="23">
        <f>K37</f>
        <v>0.44210526315789472</v>
      </c>
    </row>
    <row r="37" spans="3:13" ht="7.5" customHeight="1">
      <c r="C37" s="159"/>
      <c r="D37" s="159"/>
      <c r="E37" s="157"/>
      <c r="F37" s="157">
        <f t="shared" ref="F37" si="2">C36-C38</f>
        <v>30</v>
      </c>
      <c r="G37" s="157">
        <f t="shared" ref="G37" si="3">E36-E38</f>
        <v>-95</v>
      </c>
      <c r="H37" s="158">
        <f>G37/F37</f>
        <v>-3.1666666666666665</v>
      </c>
      <c r="I37" s="157">
        <f t="shared" ref="I37" si="4">(D36+D38)/2</f>
        <v>-237.5</v>
      </c>
      <c r="J37" s="157">
        <f t="shared" ref="J37" si="5">ABS(I37)</f>
        <v>237.5</v>
      </c>
      <c r="K37" s="156">
        <f t="shared" ref="K37" si="6">-$E$31/H37</f>
        <v>0.44210526315789472</v>
      </c>
      <c r="L37" s="23">
        <f>J39</f>
        <v>122.5</v>
      </c>
      <c r="M37" s="23">
        <f>K39</f>
        <v>0.55999999999999994</v>
      </c>
    </row>
    <row r="38" spans="3:13" ht="7.5" customHeight="1">
      <c r="C38" s="159">
        <v>70</v>
      </c>
      <c r="D38" s="159">
        <v>-175</v>
      </c>
      <c r="E38" s="157">
        <f t="shared" ref="E38" si="7">C38+D38</f>
        <v>-105</v>
      </c>
      <c r="F38" s="157"/>
      <c r="G38" s="157"/>
      <c r="H38" s="158"/>
      <c r="I38" s="157"/>
      <c r="J38" s="157"/>
      <c r="K38" s="156"/>
      <c r="L38" s="23">
        <f>J41</f>
        <v>50</v>
      </c>
      <c r="M38" s="23">
        <f>K41</f>
        <v>1.4</v>
      </c>
    </row>
    <row r="39" spans="3:13" ht="7.5" customHeight="1">
      <c r="C39" s="159"/>
      <c r="D39" s="159"/>
      <c r="E39" s="157"/>
      <c r="F39" s="157">
        <f t="shared" ref="F39" si="8">C38-C40</f>
        <v>30</v>
      </c>
      <c r="G39" s="157">
        <f t="shared" ref="G39" si="9">E38-E40</f>
        <v>-75</v>
      </c>
      <c r="H39" s="157">
        <f t="shared" ref="H39" si="10">G39/F39</f>
        <v>-2.5</v>
      </c>
      <c r="I39" s="157">
        <f t="shared" ref="I39" si="11">(D38+D40)/2</f>
        <v>-122.5</v>
      </c>
      <c r="J39" s="157">
        <f t="shared" ref="J39" si="12">ABS(I39)</f>
        <v>122.5</v>
      </c>
      <c r="K39" s="156">
        <f t="shared" ref="K39" si="13">-$E$31/H39</f>
        <v>0.55999999999999994</v>
      </c>
      <c r="L39" s="23">
        <f>J43</f>
        <v>18</v>
      </c>
      <c r="M39" s="23">
        <f>K43</f>
        <v>2.3333333333333335</v>
      </c>
    </row>
    <row r="40" spans="3:13" ht="7.5" customHeight="1">
      <c r="C40" s="159">
        <v>40</v>
      </c>
      <c r="D40" s="159">
        <v>-70</v>
      </c>
      <c r="E40" s="157">
        <f t="shared" ref="E40" si="14">C40+D40</f>
        <v>-30</v>
      </c>
      <c r="F40" s="157"/>
      <c r="G40" s="157"/>
      <c r="H40" s="157"/>
      <c r="I40" s="157"/>
      <c r="J40" s="157"/>
      <c r="K40" s="156"/>
      <c r="L40" s="23">
        <f>J45</f>
        <v>3</v>
      </c>
      <c r="M40" s="23">
        <f>K45</f>
        <v>6.9999999999999991</v>
      </c>
    </row>
    <row r="41" spans="3:13" ht="7.5" customHeight="1">
      <c r="C41" s="159"/>
      <c r="D41" s="159"/>
      <c r="E41" s="157"/>
      <c r="F41" s="157">
        <f t="shared" ref="F41" si="15">C40-C42</f>
        <v>20</v>
      </c>
      <c r="G41" s="157">
        <f t="shared" ref="G41" si="16">E40-E42</f>
        <v>-20</v>
      </c>
      <c r="H41" s="157">
        <f t="shared" ref="H41" si="17">G41/F41</f>
        <v>-1</v>
      </c>
      <c r="I41" s="157">
        <f t="shared" ref="I41" si="18">(D40+D42)/2</f>
        <v>-50</v>
      </c>
      <c r="J41" s="157">
        <f t="shared" ref="J41" si="19">ABS(I41)</f>
        <v>50</v>
      </c>
      <c r="K41" s="156">
        <f t="shared" ref="K41" si="20">-$E$31/H41</f>
        <v>1.4</v>
      </c>
      <c r="L41" s="23"/>
      <c r="M41" s="23"/>
    </row>
    <row r="42" spans="3:13" ht="7.5" customHeight="1">
      <c r="C42" s="159">
        <v>20</v>
      </c>
      <c r="D42" s="159">
        <v>-30</v>
      </c>
      <c r="E42" s="157">
        <f t="shared" ref="E42" si="21">C42+D42</f>
        <v>-10</v>
      </c>
      <c r="F42" s="157"/>
      <c r="G42" s="157"/>
      <c r="H42" s="157"/>
      <c r="I42" s="157"/>
      <c r="J42" s="157"/>
      <c r="K42" s="156"/>
      <c r="L42" s="23"/>
      <c r="M42" s="23"/>
    </row>
    <row r="43" spans="3:13" ht="7.5" customHeight="1">
      <c r="C43" s="159"/>
      <c r="D43" s="159"/>
      <c r="E43" s="157"/>
      <c r="F43" s="157">
        <f t="shared" ref="F43" si="22">C42-C44</f>
        <v>15</v>
      </c>
      <c r="G43" s="157">
        <f t="shared" ref="G43" si="23">E42-E44</f>
        <v>-9</v>
      </c>
      <c r="H43" s="157">
        <f t="shared" ref="H43" si="24">G43/F43</f>
        <v>-0.6</v>
      </c>
      <c r="I43" s="157">
        <f t="shared" ref="I43" si="25">(D42+D44)/2</f>
        <v>-18</v>
      </c>
      <c r="J43" s="157">
        <f t="shared" ref="J43" si="26">ABS(I43)</f>
        <v>18</v>
      </c>
      <c r="K43" s="156">
        <f t="shared" ref="K43" si="27">-$E$31/H43</f>
        <v>2.3333333333333335</v>
      </c>
      <c r="L43" s="23"/>
      <c r="M43" s="23"/>
    </row>
    <row r="44" spans="3:13" ht="7.5" customHeight="1">
      <c r="C44" s="159">
        <v>5</v>
      </c>
      <c r="D44" s="159">
        <v>-6</v>
      </c>
      <c r="E44" s="157">
        <f t="shared" ref="E44" si="28">C44+D44</f>
        <v>-1</v>
      </c>
      <c r="F44" s="157"/>
      <c r="G44" s="157"/>
      <c r="H44" s="157"/>
      <c r="I44" s="157"/>
      <c r="J44" s="157"/>
      <c r="K44" s="156"/>
    </row>
    <row r="45" spans="3:13" ht="7.5" customHeight="1">
      <c r="C45" s="159"/>
      <c r="D45" s="159"/>
      <c r="E45" s="157"/>
      <c r="F45" s="157">
        <f t="shared" ref="F45" si="29">C44-C46</f>
        <v>5</v>
      </c>
      <c r="G45" s="157">
        <f t="shared" ref="G45" si="30">E44-E46</f>
        <v>-1</v>
      </c>
      <c r="H45" s="157">
        <f t="shared" ref="H45" si="31">G45/F45</f>
        <v>-0.2</v>
      </c>
      <c r="I45" s="157">
        <f t="shared" ref="I45" si="32">(D44+D46)/2</f>
        <v>-3</v>
      </c>
      <c r="J45" s="157">
        <f t="shared" ref="J45" si="33">ABS(I45)</f>
        <v>3</v>
      </c>
      <c r="K45" s="156">
        <f t="shared" ref="K45" si="34">-$E$31/H45</f>
        <v>6.9999999999999991</v>
      </c>
    </row>
    <row r="46" spans="3:13" ht="7.5" customHeight="1">
      <c r="C46" s="159">
        <v>0</v>
      </c>
      <c r="D46" s="159">
        <v>0</v>
      </c>
      <c r="E46" s="157">
        <f t="shared" ref="E46" si="35">C46+D46</f>
        <v>0</v>
      </c>
      <c r="F46" s="157"/>
      <c r="G46" s="157"/>
      <c r="H46" s="157"/>
      <c r="I46" s="157"/>
      <c r="J46" s="157"/>
      <c r="K46" s="156"/>
    </row>
    <row r="47" spans="3:13" ht="7.5" customHeight="1">
      <c r="C47" s="160"/>
      <c r="D47" s="160"/>
      <c r="E47" s="162"/>
      <c r="F47" s="15"/>
      <c r="G47" s="11"/>
      <c r="H47" s="11"/>
      <c r="I47" s="11"/>
      <c r="J47" s="11"/>
      <c r="K47" s="11"/>
    </row>
    <row r="65" spans="2:2">
      <c r="B65" t="s">
        <v>32</v>
      </c>
    </row>
    <row r="66" spans="2:2">
      <c r="B66" t="s">
        <v>49</v>
      </c>
    </row>
  </sheetData>
  <mergeCells count="57">
    <mergeCell ref="C44:C45"/>
    <mergeCell ref="C46:C47"/>
    <mergeCell ref="C34:C35"/>
    <mergeCell ref="C36:C37"/>
    <mergeCell ref="C38:C39"/>
    <mergeCell ref="C40:C41"/>
    <mergeCell ref="C42:C43"/>
    <mergeCell ref="D44:D45"/>
    <mergeCell ref="D46:D47"/>
    <mergeCell ref="E34:E35"/>
    <mergeCell ref="E36:E37"/>
    <mergeCell ref="E38:E39"/>
    <mergeCell ref="E40:E41"/>
    <mergeCell ref="E42:E43"/>
    <mergeCell ref="E44:E45"/>
    <mergeCell ref="E46:E47"/>
    <mergeCell ref="D34:D35"/>
    <mergeCell ref="D36:D37"/>
    <mergeCell ref="D38:D39"/>
    <mergeCell ref="D40:D41"/>
    <mergeCell ref="D42:D43"/>
    <mergeCell ref="G45:G46"/>
    <mergeCell ref="F35:F36"/>
    <mergeCell ref="F37:F38"/>
    <mergeCell ref="F39:F40"/>
    <mergeCell ref="F41:F42"/>
    <mergeCell ref="F43:F44"/>
    <mergeCell ref="F45:F46"/>
    <mergeCell ref="G35:G36"/>
    <mergeCell ref="G37:G38"/>
    <mergeCell ref="G39:G40"/>
    <mergeCell ref="G41:G42"/>
    <mergeCell ref="G43:G44"/>
    <mergeCell ref="I45:I46"/>
    <mergeCell ref="H35:H36"/>
    <mergeCell ref="H37:H38"/>
    <mergeCell ref="H39:H40"/>
    <mergeCell ref="H41:H42"/>
    <mergeCell ref="H43:H44"/>
    <mergeCell ref="H45:H46"/>
    <mergeCell ref="I35:I36"/>
    <mergeCell ref="I37:I38"/>
    <mergeCell ref="I39:I40"/>
    <mergeCell ref="I41:I42"/>
    <mergeCell ref="I43:I44"/>
    <mergeCell ref="K45:K46"/>
    <mergeCell ref="J35:J36"/>
    <mergeCell ref="J37:J38"/>
    <mergeCell ref="J39:J40"/>
    <mergeCell ref="J41:J42"/>
    <mergeCell ref="J43:J44"/>
    <mergeCell ref="J45:J46"/>
    <mergeCell ref="K35:K36"/>
    <mergeCell ref="K37:K38"/>
    <mergeCell ref="K39:K40"/>
    <mergeCell ref="K41:K42"/>
    <mergeCell ref="K43:K44"/>
  </mergeCells>
  <phoneticPr fontId="1"/>
  <pageMargins left="0.7" right="0.7" top="0.75" bottom="0.75" header="0.3" footer="0.3"/>
  <pageSetup paperSize="9" orientation="portrait" r:id="rId1"/>
  <drawing r:id="rId2"/>
  <legacyDrawing r:id="rId3"/>
  <oleObjects>
    <oleObject progId="Equation.3" shapeId="9217" r:id="rId4"/>
    <oleObject progId="Equation.3" shapeId="9222" r:id="rId5"/>
    <oleObject progId="Equation.3" shapeId="9223" r:id="rId6"/>
    <oleObject progId="Equation.3" shapeId="9224" r:id="rId7"/>
  </oleObjects>
</worksheet>
</file>

<file path=xl/worksheets/sheet10.xml><?xml version="1.0" encoding="utf-8"?>
<worksheet xmlns="http://schemas.openxmlformats.org/spreadsheetml/2006/main" xmlns:r="http://schemas.openxmlformats.org/officeDocument/2006/relationships">
  <sheetPr codeName="Sheet6"/>
  <dimension ref="A1:AD224"/>
  <sheetViews>
    <sheetView zoomScale="90" zoomScaleNormal="90" workbookViewId="0"/>
  </sheetViews>
  <sheetFormatPr defaultRowHeight="13.5" customHeight="1"/>
  <cols>
    <col min="4" max="4" width="8.875" customWidth="1"/>
    <col min="11" max="11" width="9" customWidth="1"/>
    <col min="16" max="16" width="9.375" customWidth="1"/>
    <col min="30" max="30" width="9" customWidth="1"/>
  </cols>
  <sheetData>
    <row r="1" spans="1:27" ht="19.5" customHeight="1">
      <c r="A1" s="10" t="s">
        <v>319</v>
      </c>
      <c r="L1" t="s">
        <v>299</v>
      </c>
      <c r="S1" s="110"/>
      <c r="T1" s="119"/>
      <c r="U1" s="119"/>
      <c r="AA1" s="2"/>
    </row>
    <row r="2" spans="1:27" ht="13.5" customHeight="1">
      <c r="L2" s="97"/>
      <c r="N2" s="97"/>
      <c r="S2" s="97"/>
      <c r="T2" s="97"/>
    </row>
    <row r="3" spans="1:27" ht="13.5" customHeight="1">
      <c r="N3" s="97"/>
      <c r="S3" s="97"/>
      <c r="T3" s="97"/>
    </row>
    <row r="4" spans="1:27" ht="13.5" customHeight="1">
      <c r="N4" s="97"/>
      <c r="S4" s="97"/>
      <c r="T4" s="97"/>
    </row>
    <row r="5" spans="1:27" ht="13.5" customHeight="1">
      <c r="N5" s="97"/>
      <c r="S5" s="97"/>
      <c r="T5" s="97"/>
    </row>
    <row r="6" spans="1:27" ht="13.5" customHeight="1">
      <c r="N6" s="97"/>
      <c r="S6" s="97"/>
      <c r="T6" s="97"/>
    </row>
    <row r="7" spans="1:27" ht="13.5" customHeight="1">
      <c r="N7" s="97"/>
      <c r="S7" s="97"/>
      <c r="T7" s="97"/>
    </row>
    <row r="8" spans="1:27" ht="13.5" customHeight="1">
      <c r="N8" s="97"/>
      <c r="S8" s="97"/>
      <c r="T8" s="97"/>
    </row>
    <row r="9" spans="1:27" s="97" customFormat="1" ht="19.5" customHeight="1">
      <c r="A9" s="10" t="s">
        <v>34</v>
      </c>
      <c r="B9" s="135" t="s">
        <v>304</v>
      </c>
      <c r="C9" s="135"/>
      <c r="D9" s="135"/>
      <c r="F9" s="141" t="s">
        <v>300</v>
      </c>
      <c r="G9" s="93" t="s">
        <v>246</v>
      </c>
      <c r="H9" s="20">
        <v>100</v>
      </c>
      <c r="I9" s="142" t="s">
        <v>3</v>
      </c>
      <c r="U9"/>
      <c r="AA9"/>
    </row>
    <row r="10" spans="1:27" s="97" customFormat="1" ht="13.5" customHeight="1">
      <c r="A10" s="135"/>
      <c r="B10" s="135"/>
      <c r="C10" s="135"/>
      <c r="D10" s="135"/>
      <c r="F10" s="73" t="s">
        <v>301</v>
      </c>
      <c r="G10" s="72" t="s">
        <v>325</v>
      </c>
      <c r="H10" s="72">
        <v>1</v>
      </c>
      <c r="I10" s="136" t="s">
        <v>208</v>
      </c>
      <c r="U10"/>
      <c r="AA10"/>
    </row>
    <row r="11" spans="1:27" s="97" customFormat="1" ht="13.5" customHeight="1">
      <c r="A11" s="135"/>
      <c r="B11" s="135"/>
      <c r="C11" s="135"/>
      <c r="D11" s="135"/>
      <c r="F11" s="73" t="s">
        <v>302</v>
      </c>
      <c r="G11" s="72" t="s">
        <v>326</v>
      </c>
      <c r="H11" s="72">
        <v>20</v>
      </c>
      <c r="I11" s="137" t="s">
        <v>3</v>
      </c>
      <c r="U11"/>
      <c r="AA11"/>
    </row>
    <row r="12" spans="1:27" s="97" customFormat="1" ht="13.5" customHeight="1">
      <c r="A12" s="135"/>
      <c r="B12" s="135"/>
      <c r="C12" s="135"/>
      <c r="D12" s="135"/>
      <c r="F12" s="138" t="s">
        <v>303</v>
      </c>
      <c r="G12" s="139" t="s">
        <v>327</v>
      </c>
      <c r="H12" s="139">
        <v>0</v>
      </c>
      <c r="I12" s="140" t="s">
        <v>3</v>
      </c>
      <c r="U12"/>
      <c r="AA12"/>
    </row>
    <row r="13" spans="1:27" s="97" customFormat="1" ht="13.5" customHeight="1">
      <c r="A13" s="135"/>
      <c r="B13" s="135" t="s">
        <v>305</v>
      </c>
      <c r="C13" s="135"/>
      <c r="D13" s="135"/>
      <c r="E13" s="135"/>
      <c r="U13"/>
      <c r="AA13"/>
    </row>
    <row r="14" spans="1:27" s="97" customFormat="1" ht="18" customHeight="1" thickBot="1">
      <c r="A14" s="135"/>
      <c r="B14" s="143" t="s">
        <v>306</v>
      </c>
      <c r="C14" s="144">
        <f>H9/H10*LN((H11+H9)/(H12+H9))</f>
        <v>18.232155679395458</v>
      </c>
      <c r="D14" s="145" t="s">
        <v>307</v>
      </c>
      <c r="U14"/>
      <c r="AA14"/>
    </row>
    <row r="15" spans="1:27" s="97" customFormat="1" ht="13.5" customHeight="1">
      <c r="A15" s="135"/>
      <c r="H15"/>
      <c r="I15"/>
    </row>
    <row r="16" spans="1:27" ht="19.5" customHeight="1">
      <c r="A16" s="10" t="s">
        <v>27</v>
      </c>
      <c r="B16" t="s">
        <v>308</v>
      </c>
      <c r="F16" s="34"/>
    </row>
    <row r="17" spans="1:7" ht="13.5" customHeight="1">
      <c r="A17" s="135"/>
      <c r="B17" t="s">
        <v>309</v>
      </c>
      <c r="F17" s="34"/>
    </row>
    <row r="18" spans="1:7" ht="19.5" customHeight="1">
      <c r="A18" s="135"/>
      <c r="B18" s="46" t="s">
        <v>310</v>
      </c>
      <c r="C18" s="46"/>
      <c r="D18" s="46"/>
      <c r="E18" s="46"/>
      <c r="F18" s="34"/>
    </row>
    <row r="19" spans="1:7" ht="13.5" customHeight="1">
      <c r="B19" s="34"/>
      <c r="C19" s="34"/>
      <c r="D19" s="34"/>
      <c r="E19" s="34"/>
      <c r="F19" s="34"/>
    </row>
    <row r="20" spans="1:7" ht="13.5" customHeight="1">
      <c r="B20" s="34"/>
      <c r="C20" s="34"/>
      <c r="D20" s="34"/>
      <c r="E20" s="34"/>
      <c r="F20" s="34"/>
    </row>
    <row r="23" spans="1:7" ht="13.5" customHeight="1">
      <c r="B23" t="s">
        <v>311</v>
      </c>
    </row>
    <row r="24" spans="1:7" ht="19.5" customHeight="1" thickBot="1">
      <c r="B24" s="143" t="s">
        <v>306</v>
      </c>
      <c r="C24" s="144">
        <f>H11*H9/H10/(1/2*H11+H9)</f>
        <v>18.181818181818183</v>
      </c>
      <c r="D24" s="145" t="s">
        <v>307</v>
      </c>
    </row>
    <row r="26" spans="1:7" ht="19.5" customHeight="1">
      <c r="A26" s="10" t="s">
        <v>132</v>
      </c>
      <c r="B26" t="s">
        <v>312</v>
      </c>
      <c r="E26" t="s">
        <v>323</v>
      </c>
    </row>
    <row r="27" spans="1:7" ht="19.5" customHeight="1" thickBot="1">
      <c r="B27" s="143" t="s">
        <v>313</v>
      </c>
      <c r="C27" s="90">
        <f>C14-C24</f>
        <v>5.0337497577274348E-2</v>
      </c>
      <c r="D27" s="145" t="s">
        <v>307</v>
      </c>
      <c r="E27" s="147" t="s">
        <v>321</v>
      </c>
      <c r="F27" s="90">
        <f>ABS(C14-C24)/C14*100</f>
        <v>0.27609185914401668</v>
      </c>
      <c r="G27" s="52" t="s">
        <v>322</v>
      </c>
    </row>
    <row r="29" spans="1:7" ht="13.5" customHeight="1">
      <c r="B29" t="s">
        <v>314</v>
      </c>
    </row>
    <row r="30" spans="1:7" ht="13.5" customHeight="1">
      <c r="B30" t="s">
        <v>316</v>
      </c>
    </row>
    <row r="31" spans="1:7" ht="13.5" customHeight="1">
      <c r="B31" t="s">
        <v>317</v>
      </c>
    </row>
    <row r="32" spans="1:7" ht="13.5" customHeight="1">
      <c r="B32" t="s">
        <v>318</v>
      </c>
    </row>
    <row r="33" spans="1:30" ht="13.5" customHeight="1">
      <c r="A33" s="1"/>
      <c r="B33" s="1"/>
      <c r="C33" s="1"/>
      <c r="D33" s="1"/>
      <c r="E33" s="1"/>
    </row>
    <row r="34" spans="1:30" ht="19.5" customHeight="1">
      <c r="A34" s="10" t="s">
        <v>320</v>
      </c>
      <c r="S34" s="110"/>
      <c r="T34" s="119"/>
      <c r="U34" s="119"/>
      <c r="AA34" s="2"/>
    </row>
    <row r="35" spans="1:30" ht="13.5" customHeight="1">
      <c r="L35" s="97"/>
      <c r="N35" s="97"/>
      <c r="S35" s="97"/>
      <c r="T35" s="97"/>
    </row>
    <row r="36" spans="1:30" ht="13.5" customHeight="1">
      <c r="N36" s="97"/>
      <c r="S36" s="97"/>
      <c r="T36" s="97"/>
    </row>
    <row r="37" spans="1:30" ht="19.5" customHeight="1">
      <c r="A37" s="10"/>
      <c r="B37" s="135"/>
      <c r="C37" s="135"/>
      <c r="D37" s="135"/>
      <c r="E37" s="97"/>
      <c r="F37" s="141" t="s">
        <v>300</v>
      </c>
      <c r="G37" s="93" t="s">
        <v>246</v>
      </c>
      <c r="H37" s="20">
        <v>5</v>
      </c>
      <c r="I37" s="142" t="s">
        <v>3</v>
      </c>
      <c r="N37" s="97"/>
      <c r="S37" s="97"/>
      <c r="T37" s="97"/>
    </row>
    <row r="38" spans="1:30" ht="13.5" customHeight="1">
      <c r="A38" s="135"/>
      <c r="B38" s="135"/>
      <c r="C38" s="135"/>
      <c r="D38" s="135"/>
      <c r="E38" s="97"/>
      <c r="F38" s="73" t="s">
        <v>301</v>
      </c>
      <c r="G38" s="72" t="s">
        <v>325</v>
      </c>
      <c r="H38" s="72">
        <v>1</v>
      </c>
      <c r="I38" s="136" t="s">
        <v>208</v>
      </c>
      <c r="N38" s="97"/>
      <c r="S38" s="97"/>
      <c r="T38" s="97"/>
    </row>
    <row r="39" spans="1:30" ht="13.5" customHeight="1">
      <c r="A39" s="135"/>
      <c r="B39" s="135"/>
      <c r="C39" s="135"/>
      <c r="D39" s="135"/>
      <c r="E39" s="97"/>
      <c r="F39" s="73" t="s">
        <v>302</v>
      </c>
      <c r="G39" s="72" t="s">
        <v>326</v>
      </c>
      <c r="H39" s="72">
        <v>20</v>
      </c>
      <c r="I39" s="137" t="s">
        <v>3</v>
      </c>
      <c r="N39" s="97"/>
      <c r="S39" s="97"/>
      <c r="T39" s="97"/>
    </row>
    <row r="40" spans="1:30" ht="13.5" customHeight="1">
      <c r="A40" s="135"/>
      <c r="B40" s="135" t="s">
        <v>305</v>
      </c>
      <c r="C40" s="135"/>
      <c r="D40" s="135"/>
      <c r="E40" s="135"/>
      <c r="F40" s="138" t="s">
        <v>303</v>
      </c>
      <c r="G40" s="139" t="s">
        <v>327</v>
      </c>
      <c r="H40" s="139">
        <v>0</v>
      </c>
      <c r="I40" s="140" t="s">
        <v>3</v>
      </c>
      <c r="N40" s="97"/>
      <c r="S40" s="97"/>
      <c r="T40" s="97"/>
    </row>
    <row r="41" spans="1:30" ht="19.5" customHeight="1" thickBot="1">
      <c r="A41" s="135"/>
      <c r="B41" s="143" t="s">
        <v>306</v>
      </c>
      <c r="C41" s="144">
        <f>H37/H38*LN((H39+H37)/(H40+H37))</f>
        <v>8.0471895621705016</v>
      </c>
      <c r="D41" s="145" t="s">
        <v>307</v>
      </c>
      <c r="E41" s="97"/>
      <c r="F41" s="97"/>
      <c r="G41" s="97"/>
      <c r="H41" s="97"/>
      <c r="I41" s="97"/>
      <c r="N41" s="97"/>
      <c r="S41" s="97"/>
      <c r="T41" s="97"/>
    </row>
    <row r="42" spans="1:30" ht="13.5" customHeight="1">
      <c r="A42" s="135"/>
      <c r="F42" s="97"/>
      <c r="G42" s="97"/>
      <c r="H42" s="97"/>
      <c r="I42" s="97"/>
    </row>
    <row r="43" spans="1:30" ht="19.5" customHeight="1">
      <c r="A43" s="10"/>
      <c r="B43" s="34"/>
      <c r="C43" s="34"/>
      <c r="D43" s="34"/>
      <c r="E43" s="34"/>
      <c r="F43" s="34"/>
      <c r="I43" t="s">
        <v>324</v>
      </c>
      <c r="AA43" s="111" t="s">
        <v>152</v>
      </c>
      <c r="AB43" s="110" t="s">
        <v>331</v>
      </c>
      <c r="AC43" s="110" t="s">
        <v>332</v>
      </c>
      <c r="AD43" s="119" t="s">
        <v>333</v>
      </c>
    </row>
    <row r="44" spans="1:30" ht="13.5" customHeight="1">
      <c r="B44" s="34"/>
      <c r="C44" s="34"/>
      <c r="D44" s="34"/>
      <c r="E44" s="34"/>
      <c r="F44" s="34"/>
      <c r="I44" t="s">
        <v>328</v>
      </c>
      <c r="AA44">
        <v>0.01</v>
      </c>
      <c r="AB44">
        <f>AA44/(1+0.5*AA44)</f>
        <v>9.950248756218907E-3</v>
      </c>
      <c r="AC44">
        <f>LN(1+AA44)</f>
        <v>9.950330853168092E-3</v>
      </c>
      <c r="AD44">
        <f>-(AB44-AC44)</f>
        <v>8.2096949184998214E-8</v>
      </c>
    </row>
    <row r="45" spans="1:30" ht="13.5" customHeight="1">
      <c r="A45" s="135"/>
      <c r="AA45">
        <f>AA44*1.2</f>
        <v>1.2E-2</v>
      </c>
      <c r="AB45">
        <f t="shared" ref="AB45:AB69" si="0">AA45/(1+0.5*AA45)</f>
        <v>1.1928429423459244E-2</v>
      </c>
      <c r="AC45">
        <f t="shared" ref="AC45:AC69" si="1">LN(1+AA45)</f>
        <v>1.1928570865273812E-2</v>
      </c>
      <c r="AD45">
        <f t="shared" ref="AD45:AD69" si="2">-(AB45-AC45)</f>
        <v>1.4144181456794691E-7</v>
      </c>
    </row>
    <row r="46" spans="1:30" ht="13.5" customHeight="1">
      <c r="A46" s="135"/>
      <c r="AA46">
        <f t="shared" ref="AA46:AA82" si="3">AA45*1.2</f>
        <v>1.44E-2</v>
      </c>
      <c r="AB46">
        <f t="shared" si="0"/>
        <v>1.4297061159650515E-2</v>
      </c>
      <c r="AC46">
        <f t="shared" si="1"/>
        <v>1.4297304700824394E-2</v>
      </c>
      <c r="AD46">
        <f t="shared" si="2"/>
        <v>2.4354117387874463E-7</v>
      </c>
    </row>
    <row r="47" spans="1:30" ht="13.5" customHeight="1">
      <c r="B47" t="s">
        <v>311</v>
      </c>
      <c r="AA47">
        <f t="shared" si="3"/>
        <v>1.728E-2</v>
      </c>
      <c r="AB47">
        <f t="shared" si="0"/>
        <v>1.7131979695431471E-2</v>
      </c>
      <c r="AC47">
        <f t="shared" si="1"/>
        <v>1.7132398740300793E-2</v>
      </c>
      <c r="AD47">
        <f t="shared" si="2"/>
        <v>4.1904486932156648E-7</v>
      </c>
    </row>
    <row r="48" spans="1:30" ht="19.5" customHeight="1" thickBot="1">
      <c r="B48" s="143" t="s">
        <v>306</v>
      </c>
      <c r="C48" s="144">
        <f>H39*H37/H38/(1/2*H39+H37)</f>
        <v>6.666666666666667</v>
      </c>
      <c r="D48" s="145" t="s">
        <v>307</v>
      </c>
      <c r="AA48">
        <f t="shared" si="3"/>
        <v>2.0736000000000001E-2</v>
      </c>
      <c r="AB48">
        <f t="shared" si="0"/>
        <v>2.052321530373092E-2</v>
      </c>
      <c r="AC48">
        <f t="shared" si="1"/>
        <v>2.0523935718151934E-2</v>
      </c>
      <c r="AD48">
        <f t="shared" si="2"/>
        <v>7.204144210140595E-7</v>
      </c>
    </row>
    <row r="49" spans="1:30" ht="13.5" customHeight="1">
      <c r="AA49">
        <f t="shared" si="3"/>
        <v>2.4883200000000001E-2</v>
      </c>
      <c r="AB49">
        <f t="shared" si="0"/>
        <v>2.4577417601173244E-2</v>
      </c>
      <c r="AC49">
        <f t="shared" si="1"/>
        <v>2.4578654877925939E-2</v>
      </c>
      <c r="AD49">
        <f t="shared" si="2"/>
        <v>1.2372767526948325E-6</v>
      </c>
    </row>
    <row r="50" spans="1:30" ht="19.5" customHeight="1">
      <c r="B50" t="s">
        <v>312</v>
      </c>
      <c r="E50" t="s">
        <v>323</v>
      </c>
      <c r="AA50">
        <f t="shared" si="3"/>
        <v>2.9859839999999999E-2</v>
      </c>
      <c r="AB50">
        <f t="shared" si="0"/>
        <v>2.9420592901626155E-2</v>
      </c>
      <c r="AC50">
        <f t="shared" si="1"/>
        <v>2.9422715312235437E-2</v>
      </c>
      <c r="AD50">
        <f t="shared" si="2"/>
        <v>2.1224106092829209E-6</v>
      </c>
    </row>
    <row r="51" spans="1:30" ht="19.5" customHeight="1" thickBot="1">
      <c r="A51" s="10"/>
      <c r="B51" s="143" t="s">
        <v>313</v>
      </c>
      <c r="C51" s="90">
        <f>C41-C48</f>
        <v>1.3805228955038347</v>
      </c>
      <c r="D51" s="145" t="s">
        <v>307</v>
      </c>
      <c r="E51" s="147" t="s">
        <v>321</v>
      </c>
      <c r="F51" s="90">
        <f>ABS(C41-C48)/C41*100</f>
        <v>17.155342058718421</v>
      </c>
      <c r="G51" s="52" t="s">
        <v>322</v>
      </c>
      <c r="AA51">
        <f t="shared" si="3"/>
        <v>3.5831808E-2</v>
      </c>
      <c r="AB51">
        <f t="shared" si="0"/>
        <v>3.5201147618575762E-2</v>
      </c>
      <c r="AC51">
        <f t="shared" si="1"/>
        <v>3.5204783167163495E-2</v>
      </c>
      <c r="AD51">
        <f t="shared" si="2"/>
        <v>3.6355485877326288E-6</v>
      </c>
    </row>
    <row r="52" spans="1:30" ht="13.5" customHeight="1">
      <c r="AA52">
        <f t="shared" si="3"/>
        <v>4.2998169599999997E-2</v>
      </c>
      <c r="AB52">
        <f t="shared" si="0"/>
        <v>4.2093204232697509E-2</v>
      </c>
      <c r="AC52">
        <f t="shared" si="1"/>
        <v>4.2099421079415639E-2</v>
      </c>
      <c r="AD52">
        <f t="shared" si="2"/>
        <v>6.2168467181294984E-6</v>
      </c>
    </row>
    <row r="53" spans="1:30" ht="13.5" customHeight="1">
      <c r="AA53">
        <f t="shared" si="3"/>
        <v>5.1597803519999992E-2</v>
      </c>
      <c r="AB53">
        <f t="shared" si="0"/>
        <v>5.0300115774614094E-2</v>
      </c>
      <c r="AC53">
        <f t="shared" si="1"/>
        <v>5.0310725168478863E-2</v>
      </c>
      <c r="AD53">
        <f t="shared" si="2"/>
        <v>1.060939386476889E-5</v>
      </c>
    </row>
    <row r="54" spans="1:30" ht="13.5" customHeight="1">
      <c r="AA54">
        <f t="shared" si="3"/>
        <v>6.1917364223999988E-2</v>
      </c>
      <c r="AB54">
        <f t="shared" si="0"/>
        <v>6.0058046261521746E-2</v>
      </c>
      <c r="AC54">
        <f t="shared" si="1"/>
        <v>6.0076108327117982E-2</v>
      </c>
      <c r="AD54">
        <f t="shared" si="2"/>
        <v>1.8062065596236021E-5</v>
      </c>
    </row>
    <row r="55" spans="1:30" ht="13.5" customHeight="1">
      <c r="AA55">
        <f t="shared" si="3"/>
        <v>7.4300837068799988E-2</v>
      </c>
      <c r="AB55">
        <f t="shared" si="0"/>
        <v>7.1639403254346354E-2</v>
      </c>
      <c r="AC55">
        <f t="shared" si="1"/>
        <v>7.167006586607777E-2</v>
      </c>
      <c r="AD55">
        <f t="shared" si="2"/>
        <v>3.0662611731416267E-5</v>
      </c>
    </row>
    <row r="56" spans="1:30" ht="13.5" customHeight="1">
      <c r="AA56">
        <f t="shared" si="3"/>
        <v>8.916100448255998E-2</v>
      </c>
      <c r="AB56">
        <f t="shared" si="0"/>
        <v>8.5355800047247424E-2</v>
      </c>
      <c r="AC56">
        <f t="shared" si="1"/>
        <v>8.5407679195804678E-2</v>
      </c>
      <c r="AD56">
        <f t="shared" si="2"/>
        <v>5.1879148557254506E-5</v>
      </c>
    </row>
    <row r="57" spans="1:30" ht="13.5" customHeight="1">
      <c r="I57" t="s">
        <v>329</v>
      </c>
      <c r="AA57">
        <f t="shared" si="3"/>
        <v>0.10699320537907198</v>
      </c>
      <c r="AB57">
        <f t="shared" si="0"/>
        <v>0.10156008581890294</v>
      </c>
      <c r="AC57">
        <f t="shared" si="1"/>
        <v>0.10164751583871279</v>
      </c>
      <c r="AD57">
        <f t="shared" si="2"/>
        <v>8.7430019809847659E-5</v>
      </c>
    </row>
    <row r="58" spans="1:30" ht="19.5" customHeight="1">
      <c r="I58" t="s">
        <v>330</v>
      </c>
      <c r="AA58">
        <f t="shared" si="3"/>
        <v>0.12839184645488635</v>
      </c>
      <c r="AB58">
        <f t="shared" si="0"/>
        <v>0.12064681291533765</v>
      </c>
      <c r="AC58">
        <f t="shared" si="1"/>
        <v>0.12079347436178749</v>
      </c>
      <c r="AD58">
        <f t="shared" si="2"/>
        <v>1.4666144644984169E-4</v>
      </c>
    </row>
    <row r="59" spans="1:30" ht="19.5" customHeight="1">
      <c r="I59" t="s">
        <v>334</v>
      </c>
      <c r="AA59">
        <f t="shared" si="3"/>
        <v>0.15407021574586363</v>
      </c>
      <c r="AB59">
        <f t="shared" si="0"/>
        <v>0.143050318991125</v>
      </c>
      <c r="AC59">
        <f t="shared" si="1"/>
        <v>0.14329501176857068</v>
      </c>
      <c r="AD59">
        <f t="shared" si="2"/>
        <v>2.4469277744568196E-4</v>
      </c>
    </row>
    <row r="60" spans="1:30" ht="13.5" customHeight="1">
      <c r="B60" s="49"/>
      <c r="C60" s="49"/>
      <c r="D60" s="49"/>
      <c r="AA60">
        <f t="shared" si="3"/>
        <v>0.18488425889503635</v>
      </c>
      <c r="AB60">
        <f t="shared" si="0"/>
        <v>0.16923940766412776</v>
      </c>
      <c r="AC60">
        <f t="shared" si="1"/>
        <v>0.16964509799835709</v>
      </c>
      <c r="AD60">
        <f t="shared" si="2"/>
        <v>4.0569033422932499E-4</v>
      </c>
    </row>
    <row r="61" spans="1:30" ht="19.5" customHeight="1">
      <c r="A61" s="10" t="s">
        <v>335</v>
      </c>
      <c r="B61" s="49"/>
      <c r="C61" s="49"/>
      <c r="D61" s="49"/>
      <c r="AA61">
        <f t="shared" si="3"/>
        <v>0.2218611106740436</v>
      </c>
      <c r="AB61">
        <f t="shared" si="0"/>
        <v>0.19970745210688512</v>
      </c>
      <c r="AC61">
        <f t="shared" si="1"/>
        <v>0.20037519690369701</v>
      </c>
      <c r="AD61">
        <f t="shared" si="2"/>
        <v>6.6774479681189214E-4</v>
      </c>
    </row>
    <row r="62" spans="1:30" ht="19.5" customHeight="1">
      <c r="A62" s="137" t="s">
        <v>349</v>
      </c>
      <c r="C62" s="148"/>
      <c r="D62" s="148"/>
      <c r="E62" s="148"/>
      <c r="F62" s="148"/>
      <c r="G62" s="49"/>
      <c r="H62" s="49"/>
      <c r="AA62">
        <f t="shared" si="3"/>
        <v>0.26623333280885231</v>
      </c>
      <c r="AB62">
        <f t="shared" si="0"/>
        <v>0.23495668248677024</v>
      </c>
      <c r="AC62">
        <f t="shared" si="1"/>
        <v>0.23604661385551157</v>
      </c>
      <c r="AD62">
        <f t="shared" si="2"/>
        <v>1.0899313687413315E-3</v>
      </c>
    </row>
    <row r="63" spans="1:30" ht="19.5" customHeight="1">
      <c r="A63" s="135" t="s">
        <v>350</v>
      </c>
      <c r="B63" s="49"/>
      <c r="C63" s="49"/>
      <c r="D63" s="49"/>
      <c r="E63" s="49"/>
      <c r="F63" s="49"/>
      <c r="G63" s="49"/>
      <c r="H63" s="49"/>
      <c r="AA63">
        <f t="shared" si="3"/>
        <v>0.31947999937062277</v>
      </c>
      <c r="AB63">
        <f t="shared" si="0"/>
        <v>0.27547553715256157</v>
      </c>
      <c r="AC63">
        <f t="shared" si="1"/>
        <v>0.27723771911284395</v>
      </c>
      <c r="AD63">
        <f t="shared" si="2"/>
        <v>1.7621819602823829E-3</v>
      </c>
    </row>
    <row r="64" spans="1:30" ht="13.5" customHeight="1">
      <c r="A64" s="49"/>
      <c r="B64" s="21" t="s">
        <v>81</v>
      </c>
      <c r="C64" s="21" t="s">
        <v>272</v>
      </c>
      <c r="D64" s="21" t="s">
        <v>3</v>
      </c>
      <c r="E64" s="49"/>
      <c r="F64" s="49"/>
      <c r="G64" s="49"/>
      <c r="AA64">
        <f>AA63*1.2</f>
        <v>0.3833759992447473</v>
      </c>
      <c r="AB64">
        <f t="shared" si="0"/>
        <v>0.32170836608762765</v>
      </c>
      <c r="AC64">
        <f t="shared" si="1"/>
        <v>0.32452688792639528</v>
      </c>
      <c r="AD64">
        <f t="shared" si="2"/>
        <v>2.8185218387676292E-3</v>
      </c>
    </row>
    <row r="65" spans="1:30" ht="13.5" customHeight="1">
      <c r="A65" s="49"/>
      <c r="B65" s="64" t="s">
        <v>79</v>
      </c>
      <c r="C65" s="64" t="s">
        <v>275</v>
      </c>
      <c r="D65" s="64" t="s">
        <v>3</v>
      </c>
      <c r="E65" s="49"/>
      <c r="F65" s="49"/>
      <c r="G65" s="49"/>
      <c r="AA65">
        <f t="shared" si="3"/>
        <v>0.46005119909369674</v>
      </c>
      <c r="AB65">
        <f t="shared" si="0"/>
        <v>0.3740175808236702</v>
      </c>
      <c r="AC65">
        <f t="shared" si="1"/>
        <v>0.37847150297777654</v>
      </c>
      <c r="AD65">
        <f t="shared" si="2"/>
        <v>4.4539221541063378E-3</v>
      </c>
    </row>
    <row r="66" spans="1:30" ht="13.5" customHeight="1">
      <c r="A66" s="49"/>
      <c r="B66" s="64" t="s">
        <v>80</v>
      </c>
      <c r="C66" s="151" t="s">
        <v>279</v>
      </c>
      <c r="D66" s="64" t="s">
        <v>3</v>
      </c>
      <c r="E66" s="49"/>
      <c r="F66" s="49"/>
      <c r="G66" s="49"/>
      <c r="AA66">
        <f t="shared" si="3"/>
        <v>0.55206143891243609</v>
      </c>
      <c r="AB66">
        <f t="shared" si="0"/>
        <v>0.43263961477957025</v>
      </c>
      <c r="AC66">
        <f t="shared" si="1"/>
        <v>0.43958400790560126</v>
      </c>
      <c r="AD66">
        <f t="shared" si="2"/>
        <v>6.9443931260310121E-3</v>
      </c>
    </row>
    <row r="67" spans="1:30" ht="13.5" customHeight="1">
      <c r="A67" s="49"/>
      <c r="B67" s="64" t="s">
        <v>273</v>
      </c>
      <c r="C67" s="64" t="s">
        <v>274</v>
      </c>
      <c r="D67" s="64" t="s">
        <v>3</v>
      </c>
      <c r="E67" s="49"/>
      <c r="F67" s="134"/>
      <c r="G67" s="49"/>
      <c r="AA67">
        <f t="shared" si="3"/>
        <v>0.66247372669492333</v>
      </c>
      <c r="AB67">
        <f t="shared" si="0"/>
        <v>0.49763775698721263</v>
      </c>
      <c r="AC67">
        <f t="shared" si="1"/>
        <v>0.50830668993122019</v>
      </c>
      <c r="AD67">
        <f t="shared" si="2"/>
        <v>1.0668932944007559E-2</v>
      </c>
    </row>
    <row r="68" spans="1:30" ht="13.5" customHeight="1">
      <c r="A68" s="49"/>
      <c r="B68" s="67" t="s">
        <v>276</v>
      </c>
      <c r="C68" s="67" t="s">
        <v>277</v>
      </c>
      <c r="D68" s="67" t="s">
        <v>278</v>
      </c>
      <c r="E68" s="49"/>
      <c r="F68" s="134"/>
      <c r="G68" s="49"/>
      <c r="AA68">
        <f t="shared" si="3"/>
        <v>0.79496847203390797</v>
      </c>
      <c r="AB68">
        <f t="shared" si="0"/>
        <v>0.56885684399538627</v>
      </c>
      <c r="AC68">
        <f t="shared" si="1"/>
        <v>0.58498745745947389</v>
      </c>
      <c r="AD68">
        <f t="shared" si="2"/>
        <v>1.6130613464087618E-2</v>
      </c>
    </row>
    <row r="69" spans="1:30" ht="13.5" customHeight="1">
      <c r="A69" s="49"/>
      <c r="B69" s="63"/>
      <c r="C69" s="49"/>
      <c r="D69" s="49"/>
      <c r="E69" s="49"/>
      <c r="F69" s="49"/>
      <c r="G69" s="49"/>
      <c r="AA69">
        <f t="shared" si="3"/>
        <v>0.95396216644068954</v>
      </c>
      <c r="AB69">
        <f t="shared" si="0"/>
        <v>0.64588651627190263</v>
      </c>
      <c r="AC69">
        <f t="shared" si="1"/>
        <v>0.66985919132500038</v>
      </c>
      <c r="AD69">
        <f t="shared" si="2"/>
        <v>2.3972675053097747E-2</v>
      </c>
    </row>
    <row r="70" spans="1:30" ht="13.5" customHeight="1">
      <c r="A70" s="155" t="s">
        <v>280</v>
      </c>
      <c r="AA70">
        <f t="shared" si="3"/>
        <v>1.1447545997288273</v>
      </c>
      <c r="AB70">
        <f t="shared" ref="AB70:AB72" si="4">AA70/(1+0.5*AA70)</f>
        <v>0.72804065527245887</v>
      </c>
      <c r="AC70">
        <f t="shared" ref="AC70:AC72" si="5">LN(1+AA70)</f>
        <v>0.76302514011432021</v>
      </c>
      <c r="AD70">
        <f t="shared" ref="AD70:AD72" si="6">-(AB70-AC70)</f>
        <v>3.4984484841861341E-2</v>
      </c>
    </row>
    <row r="71" spans="1:30" ht="13.5" customHeight="1">
      <c r="A71" s="183" t="s">
        <v>273</v>
      </c>
      <c r="B71" s="187" t="s">
        <v>2</v>
      </c>
      <c r="D71" s="36" t="s">
        <v>342</v>
      </c>
      <c r="E71" s="152">
        <v>20</v>
      </c>
      <c r="G71" s="188"/>
      <c r="H71" s="36" t="s">
        <v>344</v>
      </c>
      <c r="I71" s="130">
        <v>0</v>
      </c>
      <c r="AA71">
        <f t="shared" si="3"/>
        <v>1.3737055196745926</v>
      </c>
      <c r="AB71">
        <f t="shared" si="4"/>
        <v>0.81436006294176622</v>
      </c>
      <c r="AC71">
        <f t="shared" si="5"/>
        <v>0.86445224454839931</v>
      </c>
      <c r="AD71">
        <f t="shared" si="6"/>
        <v>5.009218160663309E-2</v>
      </c>
    </row>
    <row r="72" spans="1:30" ht="13.5" customHeight="1">
      <c r="A72" s="183"/>
      <c r="B72" s="187"/>
      <c r="D72" s="36" t="s">
        <v>343</v>
      </c>
      <c r="E72" s="130">
        <v>0</v>
      </c>
      <c r="G72" s="189"/>
      <c r="H72" s="36" t="s">
        <v>345</v>
      </c>
      <c r="I72" s="152">
        <f>$J$72/60</f>
        <v>1</v>
      </c>
      <c r="J72">
        <v>60</v>
      </c>
      <c r="AA72">
        <f t="shared" si="3"/>
        <v>1.6484466236095112</v>
      </c>
      <c r="AB72">
        <f t="shared" si="4"/>
        <v>0.9036429986078055</v>
      </c>
      <c r="AC72">
        <f t="shared" si="5"/>
        <v>0.97397328835760577</v>
      </c>
      <c r="AD72">
        <f t="shared" si="6"/>
        <v>7.0330289749800268E-2</v>
      </c>
    </row>
    <row r="73" spans="1:30" ht="13.5" customHeight="1">
      <c r="A73" s="183" t="s">
        <v>246</v>
      </c>
      <c r="B73" s="185" t="s">
        <v>281</v>
      </c>
      <c r="C73" s="186" t="s">
        <v>282</v>
      </c>
      <c r="D73" s="129" t="s">
        <v>338</v>
      </c>
      <c r="E73" s="36" t="s">
        <v>346</v>
      </c>
      <c r="G73" s="184" t="s">
        <v>281</v>
      </c>
      <c r="AA73">
        <f t="shared" si="3"/>
        <v>1.9781359483314134</v>
      </c>
      <c r="AB73">
        <f t="shared" ref="AB73:AB80" si="7">AA73/(1+0.5*AA73)</f>
        <v>0.9945039455783915</v>
      </c>
      <c r="AC73">
        <f t="shared" ref="AC73:AC80" si="8">LN(1+AA73)</f>
        <v>1.0912975841034651</v>
      </c>
      <c r="AD73">
        <f t="shared" ref="AD73:AD80" si="9">-(AB73-AC73)</f>
        <v>9.6793638525073611E-2</v>
      </c>
    </row>
    <row r="74" spans="1:30" ht="13.5" customHeight="1">
      <c r="A74" s="183"/>
      <c r="B74" s="185"/>
      <c r="C74" s="186"/>
      <c r="D74" s="129" t="s">
        <v>339</v>
      </c>
      <c r="E74" s="129" t="s">
        <v>246</v>
      </c>
      <c r="G74" s="185"/>
      <c r="AA74">
        <f t="shared" si="3"/>
        <v>2.3737631379976958</v>
      </c>
      <c r="AB74">
        <f t="shared" si="7"/>
        <v>1.0854557337023067</v>
      </c>
      <c r="AC74">
        <f t="shared" si="8"/>
        <v>1.2160287795248428</v>
      </c>
      <c r="AD74">
        <f t="shared" si="9"/>
        <v>0.13057304582253604</v>
      </c>
    </row>
    <row r="75" spans="1:30" ht="13.5" customHeight="1">
      <c r="A75" s="183"/>
      <c r="B75" s="185"/>
      <c r="C75" s="186"/>
      <c r="D75" s="36" t="s">
        <v>337</v>
      </c>
      <c r="E75" s="36" t="s">
        <v>347</v>
      </c>
      <c r="G75" s="185"/>
      <c r="AA75">
        <f t="shared" si="3"/>
        <v>2.8485157655972349</v>
      </c>
      <c r="AB75">
        <f t="shared" si="7"/>
        <v>1.1750052607063588</v>
      </c>
      <c r="AC75">
        <f t="shared" si="8"/>
        <v>1.3476875585402259</v>
      </c>
      <c r="AD75">
        <f t="shared" si="9"/>
        <v>0.17268229783386713</v>
      </c>
    </row>
    <row r="76" spans="1:30" ht="13.5" customHeight="1">
      <c r="A76" s="183"/>
      <c r="B76" s="185"/>
      <c r="G76" s="185"/>
      <c r="AA76">
        <f t="shared" si="3"/>
        <v>3.4182189187166818</v>
      </c>
      <c r="AB76">
        <f t="shared" si="7"/>
        <v>1.2617500215463038</v>
      </c>
      <c r="AC76">
        <f t="shared" si="8"/>
        <v>1.4857366553132221</v>
      </c>
      <c r="AD76">
        <f t="shared" si="9"/>
        <v>0.2239866337669183</v>
      </c>
    </row>
    <row r="77" spans="1:30" ht="13.5" customHeight="1">
      <c r="A77" s="183"/>
      <c r="B77" s="185"/>
      <c r="G77" s="185"/>
      <c r="AA77">
        <f t="shared" si="3"/>
        <v>4.1018627024600178</v>
      </c>
      <c r="AB77">
        <f t="shared" si="7"/>
        <v>1.3444624707161363</v>
      </c>
      <c r="AC77">
        <f t="shared" si="8"/>
        <v>1.629605708824404</v>
      </c>
      <c r="AD77">
        <f t="shared" si="9"/>
        <v>0.28514323810826769</v>
      </c>
    </row>
    <row r="78" spans="1:30" ht="13.5" customHeight="1">
      <c r="A78" s="183"/>
      <c r="B78" s="185"/>
      <c r="G78" s="185"/>
      <c r="AA78">
        <f t="shared" si="3"/>
        <v>4.9222352429520209</v>
      </c>
      <c r="AB78">
        <f t="shared" si="7"/>
        <v>1.4221519697596725</v>
      </c>
      <c r="AC78">
        <f t="shared" si="8"/>
        <v>1.7787139524554549</v>
      </c>
      <c r="AD78">
        <f t="shared" si="9"/>
        <v>0.35656198269578243</v>
      </c>
    </row>
    <row r="79" spans="1:30" ht="13.5" customHeight="1">
      <c r="A79" s="183"/>
      <c r="B79" s="185"/>
      <c r="E79" s="130"/>
      <c r="G79" s="185"/>
      <c r="AA79">
        <f t="shared" si="3"/>
        <v>5.9066822915424249</v>
      </c>
      <c r="AB79">
        <f t="shared" si="7"/>
        <v>1.4940988075012578</v>
      </c>
      <c r="AC79">
        <f t="shared" si="8"/>
        <v>1.9324893910095748</v>
      </c>
      <c r="AD79">
        <f t="shared" si="9"/>
        <v>0.43839058350831706</v>
      </c>
    </row>
    <row r="80" spans="1:30" ht="13.5" customHeight="1">
      <c r="A80" s="183"/>
      <c r="B80" s="185"/>
      <c r="E80" s="130" t="s">
        <v>62</v>
      </c>
      <c r="G80" s="185"/>
      <c r="AA80">
        <f t="shared" si="3"/>
        <v>7.0880187498509093</v>
      </c>
      <c r="AB80">
        <f t="shared" si="7"/>
        <v>1.5598600630015622</v>
      </c>
      <c r="AC80">
        <f t="shared" si="8"/>
        <v>2.090383799946308</v>
      </c>
      <c r="AD80">
        <f t="shared" si="9"/>
        <v>0.53052373694474575</v>
      </c>
    </row>
    <row r="81" spans="1:30" ht="13.5" customHeight="1">
      <c r="A81" s="183"/>
      <c r="B81" s="185"/>
      <c r="C81" s="186" t="s">
        <v>283</v>
      </c>
      <c r="D81" s="129" t="s">
        <v>338</v>
      </c>
      <c r="E81" s="130">
        <v>0</v>
      </c>
      <c r="G81" s="185"/>
      <c r="AA81">
        <f t="shared" si="3"/>
        <v>8.5056224998210901</v>
      </c>
      <c r="AB81">
        <f t="shared" ref="AB81:AB82" si="10">AA81/(1+0.5*AA81)</f>
        <v>1.6192515007970143</v>
      </c>
      <c r="AC81">
        <f t="shared" ref="AC81:AC82" si="11">LN(1+AA81)</f>
        <v>2.2518834656234703</v>
      </c>
      <c r="AD81">
        <f t="shared" ref="AD81:AD82" si="12">-(AB81-AC81)</f>
        <v>0.63263196482645601</v>
      </c>
    </row>
    <row r="82" spans="1:30" ht="13.5" customHeight="1">
      <c r="A82" s="183"/>
      <c r="B82" s="185"/>
      <c r="C82" s="186"/>
      <c r="D82" s="129" t="s">
        <v>339</v>
      </c>
      <c r="E82" s="130">
        <v>0</v>
      </c>
      <c r="G82" s="185"/>
      <c r="AA82">
        <f t="shared" si="3"/>
        <v>10.206746999785308</v>
      </c>
      <c r="AB82">
        <f t="shared" si="10"/>
        <v>1.672312369538719</v>
      </c>
      <c r="AC82">
        <f t="shared" si="11"/>
        <v>2.4165160076196814</v>
      </c>
      <c r="AD82">
        <f t="shared" si="12"/>
        <v>0.74420363808096246</v>
      </c>
    </row>
    <row r="83" spans="1:30" ht="13.5" customHeight="1">
      <c r="A83" s="183"/>
      <c r="B83" s="185"/>
      <c r="C83" s="186"/>
      <c r="D83" s="36" t="s">
        <v>337</v>
      </c>
      <c r="E83" s="130">
        <f>E81+E82</f>
        <v>0</v>
      </c>
      <c r="G83" s="185"/>
    </row>
    <row r="84" spans="1:30" ht="13.5" customHeight="1">
      <c r="A84" s="63" t="s">
        <v>284</v>
      </c>
      <c r="B84" s="112"/>
      <c r="C84" s="2"/>
    </row>
    <row r="85" spans="1:30" ht="13.5" customHeight="1">
      <c r="B85" s="63"/>
      <c r="C85" s="63"/>
      <c r="G85" s="63"/>
    </row>
    <row r="86" spans="1:30" ht="13.5" customHeight="1">
      <c r="B86" s="154" t="s">
        <v>348</v>
      </c>
      <c r="C86" s="63"/>
      <c r="D86" s="63"/>
      <c r="E86" s="63"/>
    </row>
    <row r="87" spans="1:30" ht="13.5" customHeight="1">
      <c r="B87" s="63"/>
      <c r="C87" s="63"/>
      <c r="D87" s="63"/>
      <c r="E87" s="63"/>
    </row>
    <row r="88" spans="1:30" ht="13.5" customHeight="1">
      <c r="A88" s="12" t="s">
        <v>285</v>
      </c>
    </row>
    <row r="89" spans="1:30" ht="13.5" customHeight="1">
      <c r="A89" s="131"/>
      <c r="B89" s="132"/>
      <c r="D89" s="36" t="s">
        <v>342</v>
      </c>
      <c r="E89" s="152">
        <f>$E$71/2</f>
        <v>10</v>
      </c>
      <c r="G89" s="132"/>
      <c r="H89" s="36" t="s">
        <v>344</v>
      </c>
      <c r="I89" s="152">
        <f>E89</f>
        <v>10</v>
      </c>
      <c r="J89" s="63"/>
    </row>
    <row r="90" spans="1:30" ht="13.5" customHeight="1">
      <c r="A90" s="131"/>
      <c r="B90" s="133"/>
      <c r="D90" s="36" t="s">
        <v>343</v>
      </c>
      <c r="E90" s="130">
        <v>0</v>
      </c>
      <c r="G90" s="133"/>
      <c r="H90" s="36" t="s">
        <v>345</v>
      </c>
      <c r="I90" s="152">
        <f>I72</f>
        <v>1</v>
      </c>
      <c r="J90" s="63"/>
    </row>
    <row r="91" spans="1:30" ht="13.5" customHeight="1">
      <c r="A91" s="182" t="s">
        <v>246</v>
      </c>
      <c r="B91" s="184" t="s">
        <v>281</v>
      </c>
      <c r="C91" s="186" t="s">
        <v>282</v>
      </c>
      <c r="D91" s="129" t="s">
        <v>338</v>
      </c>
      <c r="E91" s="152">
        <f>E89</f>
        <v>10</v>
      </c>
      <c r="G91" s="185" t="s">
        <v>281</v>
      </c>
      <c r="H91" s="129" t="s">
        <v>338</v>
      </c>
      <c r="I91" s="152">
        <f>I89</f>
        <v>10</v>
      </c>
      <c r="J91" s="63"/>
    </row>
    <row r="92" spans="1:30" ht="13.5" customHeight="1">
      <c r="A92" s="183"/>
      <c r="B92" s="185"/>
      <c r="C92" s="186"/>
      <c r="D92" s="129" t="s">
        <v>339</v>
      </c>
      <c r="E92" s="129" t="s">
        <v>341</v>
      </c>
      <c r="G92" s="185"/>
      <c r="H92" s="129" t="s">
        <v>339</v>
      </c>
      <c r="I92" s="129" t="s">
        <v>246</v>
      </c>
      <c r="J92" s="63"/>
    </row>
    <row r="93" spans="1:30" ht="13.5" customHeight="1">
      <c r="A93" s="183"/>
      <c r="B93" s="185"/>
      <c r="C93" s="186"/>
      <c r="D93" s="36" t="s">
        <v>337</v>
      </c>
      <c r="E93" s="130" t="s">
        <v>340</v>
      </c>
      <c r="G93" s="185"/>
      <c r="H93" s="36" t="s">
        <v>337</v>
      </c>
      <c r="I93" s="130" t="s">
        <v>340</v>
      </c>
      <c r="J93" s="63"/>
    </row>
    <row r="94" spans="1:30" ht="13.5" customHeight="1">
      <c r="A94" s="183"/>
      <c r="B94" s="185"/>
      <c r="G94" s="185"/>
      <c r="I94" s="63"/>
      <c r="J94" s="63"/>
    </row>
    <row r="95" spans="1:30" ht="13.5" customHeight="1">
      <c r="A95" s="183"/>
      <c r="B95" s="185"/>
      <c r="G95" s="185"/>
      <c r="I95" s="63"/>
      <c r="J95" s="63"/>
    </row>
    <row r="96" spans="1:30" ht="13.5" customHeight="1">
      <c r="A96" s="183"/>
      <c r="B96" s="185"/>
      <c r="G96" s="185"/>
      <c r="I96" s="63"/>
      <c r="J96" s="63"/>
    </row>
    <row r="97" spans="1:11" ht="13.5" customHeight="1">
      <c r="A97" s="183"/>
      <c r="B97" s="185"/>
      <c r="G97" s="185"/>
      <c r="I97" s="63"/>
      <c r="J97" s="63"/>
    </row>
    <row r="98" spans="1:11" ht="13.5" customHeight="1">
      <c r="A98" s="183"/>
      <c r="B98" s="185"/>
      <c r="G98" s="185"/>
      <c r="I98" s="63"/>
      <c r="J98" s="63"/>
    </row>
    <row r="99" spans="1:11" ht="13.5" customHeight="1">
      <c r="A99" s="183"/>
      <c r="B99" s="185"/>
      <c r="C99" s="186" t="s">
        <v>283</v>
      </c>
      <c r="D99" s="130" t="s">
        <v>81</v>
      </c>
      <c r="E99" s="130">
        <v>0</v>
      </c>
      <c r="G99" s="185"/>
      <c r="I99" s="63"/>
      <c r="J99" s="63"/>
    </row>
    <row r="100" spans="1:11" ht="13.5" customHeight="1">
      <c r="A100" s="183"/>
      <c r="B100" s="185"/>
      <c r="C100" s="186"/>
      <c r="D100" s="130" t="s">
        <v>79</v>
      </c>
      <c r="E100" s="130">
        <v>0</v>
      </c>
      <c r="G100" s="185"/>
      <c r="I100" s="63"/>
      <c r="J100" s="63"/>
    </row>
    <row r="101" spans="1:11" ht="13.5" customHeight="1">
      <c r="A101" s="183"/>
      <c r="B101" s="185"/>
      <c r="C101" s="186"/>
      <c r="D101" s="36" t="s">
        <v>337</v>
      </c>
      <c r="E101" s="130">
        <f>E99+E100</f>
        <v>0</v>
      </c>
      <c r="G101" s="185"/>
      <c r="I101" s="63"/>
      <c r="J101" s="63"/>
    </row>
    <row r="102" spans="1:11" ht="13.5" customHeight="1">
      <c r="A102" s="63" t="s">
        <v>284</v>
      </c>
      <c r="B102" s="112"/>
      <c r="C102" s="2"/>
      <c r="I102" s="63"/>
      <c r="J102" s="63"/>
    </row>
    <row r="103" spans="1:11" ht="13.5" customHeight="1">
      <c r="B103" s="63"/>
      <c r="C103" s="63"/>
      <c r="I103" s="63"/>
      <c r="J103" s="63"/>
    </row>
    <row r="104" spans="1:11" ht="13.5" customHeight="1">
      <c r="A104" s="153" t="s">
        <v>336</v>
      </c>
      <c r="B104" s="128">
        <f>E71/I72</f>
        <v>20</v>
      </c>
      <c r="I104" s="63"/>
      <c r="J104" s="63"/>
    </row>
    <row r="105" spans="1:11" ht="13.5" customHeight="1">
      <c r="B105" s="63"/>
      <c r="I105" s="63"/>
      <c r="J105" s="63"/>
    </row>
    <row r="106" spans="1:11" ht="13.5" customHeight="1">
      <c r="B106" s="63"/>
      <c r="I106" s="63"/>
      <c r="J106" s="63"/>
    </row>
    <row r="107" spans="1:11" ht="13.5" customHeight="1">
      <c r="B107" s="63"/>
      <c r="J107" s="63"/>
      <c r="K107" s="63"/>
    </row>
    <row r="108" spans="1:11" ht="13.5" customHeight="1">
      <c r="B108" s="63"/>
      <c r="J108" s="63"/>
      <c r="K108" s="63"/>
    </row>
    <row r="109" spans="1:11" ht="13.5" customHeight="1">
      <c r="B109" s="63"/>
      <c r="J109" s="63"/>
      <c r="K109" s="63"/>
    </row>
    <row r="110" spans="1:11" ht="13.5" customHeight="1">
      <c r="B110" s="63"/>
      <c r="J110" s="63"/>
      <c r="K110" s="63"/>
    </row>
    <row r="111" spans="1:11" ht="13.5" customHeight="1">
      <c r="B111" s="63"/>
      <c r="J111" s="63"/>
      <c r="K111" s="63"/>
    </row>
    <row r="112" spans="1:11" ht="13.5" customHeight="1">
      <c r="B112" s="63"/>
      <c r="J112" s="63"/>
      <c r="K112" s="63"/>
    </row>
    <row r="113" spans="1:12" ht="13.5" customHeight="1">
      <c r="B113" s="63"/>
      <c r="J113" s="63"/>
      <c r="K113" s="63"/>
    </row>
    <row r="114" spans="1:12" ht="13.5" customHeight="1">
      <c r="B114" s="63"/>
      <c r="J114" s="63"/>
      <c r="K114" s="63"/>
    </row>
    <row r="115" spans="1:12" ht="13.5" customHeight="1">
      <c r="B115" s="63"/>
      <c r="J115" s="63"/>
      <c r="K115" s="63"/>
    </row>
    <row r="116" spans="1:12" ht="13.5" customHeight="1">
      <c r="B116" s="63"/>
      <c r="J116" s="63"/>
      <c r="K116" s="63"/>
    </row>
    <row r="117" spans="1:12" ht="13.5" customHeight="1">
      <c r="B117" s="63"/>
      <c r="J117" s="63"/>
      <c r="K117" s="63"/>
    </row>
    <row r="118" spans="1:12" ht="13.5" customHeight="1">
      <c r="B118" s="63"/>
      <c r="J118" s="63"/>
      <c r="K118" s="63"/>
    </row>
    <row r="119" spans="1:12" ht="13.5" customHeight="1">
      <c r="B119" s="63"/>
      <c r="J119" s="63"/>
      <c r="K119" s="63"/>
    </row>
    <row r="120" spans="1:12" ht="13.5" customHeight="1">
      <c r="B120" s="63"/>
      <c r="J120" s="63"/>
      <c r="K120" s="63"/>
    </row>
    <row r="121" spans="1:12" ht="13.5" customHeight="1">
      <c r="B121" s="63"/>
      <c r="J121" s="63"/>
      <c r="K121" s="63"/>
    </row>
    <row r="122" spans="1:12" ht="13.5" customHeight="1">
      <c r="E122" s="63"/>
      <c r="J122" s="63"/>
      <c r="K122" s="63"/>
    </row>
    <row r="123" spans="1:12" ht="13.5" customHeight="1">
      <c r="A123" t="s">
        <v>287</v>
      </c>
      <c r="C123" s="63"/>
      <c r="D123" s="63"/>
      <c r="E123" s="63"/>
      <c r="F123" s="63" t="s">
        <v>288</v>
      </c>
      <c r="J123" s="63"/>
      <c r="K123" s="63"/>
    </row>
    <row r="124" spans="1:12" ht="13.5" customHeight="1">
      <c r="A124" t="s">
        <v>246</v>
      </c>
      <c r="B124" t="s">
        <v>289</v>
      </c>
      <c r="C124" t="s">
        <v>290</v>
      </c>
      <c r="E124" t="s">
        <v>291</v>
      </c>
      <c r="F124" s="63"/>
      <c r="G124" s="63" t="s">
        <v>292</v>
      </c>
      <c r="H124" s="63" t="s">
        <v>293</v>
      </c>
      <c r="I124" s="63" t="s">
        <v>286</v>
      </c>
      <c r="J124" s="63" t="s">
        <v>294</v>
      </c>
      <c r="K124" s="63"/>
    </row>
    <row r="125" spans="1:12" ht="13.5" customHeight="1">
      <c r="A125">
        <v>100</v>
      </c>
      <c r="B125">
        <f t="shared" ref="B125:B156" si="13">A125/$I$72*LN(($E$71+A125)/($I$71+A125))</f>
        <v>18.232155679395458</v>
      </c>
      <c r="C125">
        <f t="shared" ref="C125:C188" si="14">$B$104*A125/($E$89+A125)</f>
        <v>18.181818181818183</v>
      </c>
      <c r="D125">
        <f t="shared" ref="D125:D156" si="15">-$B$104*((A125-$E$100)/($I$91+A125)-$E$101)</f>
        <v>-18.18181818181818</v>
      </c>
      <c r="E125">
        <f>ABS((B125-C125)/B125)*100</f>
        <v>0.27609185914401668</v>
      </c>
      <c r="G125" s="63">
        <v>100</v>
      </c>
      <c r="H125" s="63">
        <f>$B$125</f>
        <v>18.232155679395458</v>
      </c>
      <c r="I125" s="63">
        <v>20</v>
      </c>
      <c r="J125" s="63">
        <f>-$G$125/$H$125*LN((($E$71/2)+$G$125)/($E$71+$G$125))*60</f>
        <v>28.634478068206665</v>
      </c>
      <c r="K125" s="63"/>
      <c r="L125" s="63"/>
    </row>
    <row r="126" spans="1:12" ht="13.5" customHeight="1">
      <c r="A126">
        <v>99</v>
      </c>
      <c r="B126">
        <f t="shared" si="13"/>
        <v>18.216360654717004</v>
      </c>
      <c r="C126">
        <f t="shared" si="14"/>
        <v>18.165137614678898</v>
      </c>
      <c r="D126">
        <f t="shared" si="15"/>
        <v>-18.165137614678898</v>
      </c>
      <c r="E126">
        <f t="shared" ref="E126:E189" si="16">ABS((B126-C126)/B126)*100</f>
        <v>0.28119250057141654</v>
      </c>
      <c r="G126" s="63" t="s">
        <v>295</v>
      </c>
      <c r="H126" s="63" t="s">
        <v>296</v>
      </c>
      <c r="I126" s="63" t="s">
        <v>297</v>
      </c>
      <c r="J126" s="63" t="s">
        <v>298</v>
      </c>
      <c r="K126" s="146" t="s">
        <v>315</v>
      </c>
      <c r="L126" s="63"/>
    </row>
    <row r="127" spans="1:12" ht="13.5" customHeight="1">
      <c r="A127">
        <v>98</v>
      </c>
      <c r="B127">
        <f t="shared" si="13"/>
        <v>18.200280287919099</v>
      </c>
      <c r="C127">
        <f t="shared" si="14"/>
        <v>18.148148148148149</v>
      </c>
      <c r="D127">
        <f t="shared" si="15"/>
        <v>-18.148148148148149</v>
      </c>
      <c r="E127">
        <f t="shared" si="16"/>
        <v>0.28643591717405964</v>
      </c>
      <c r="G127" s="63">
        <v>0</v>
      </c>
      <c r="H127" s="63">
        <f>G127/60</f>
        <v>0</v>
      </c>
      <c r="I127" s="63">
        <f t="shared" ref="I127:I158" si="17">($E$71+$G$125)*EXP(-$H$125*H127/$G$125)-$G$125</f>
        <v>20</v>
      </c>
      <c r="J127" s="63">
        <f>$E$71/2</f>
        <v>10</v>
      </c>
      <c r="K127" s="63">
        <v>0</v>
      </c>
      <c r="L127" s="63">
        <v>20</v>
      </c>
    </row>
    <row r="128" spans="1:12" ht="13.5" customHeight="1">
      <c r="A128">
        <v>97</v>
      </c>
      <c r="B128">
        <f t="shared" si="13"/>
        <v>18.183906760554205</v>
      </c>
      <c r="C128">
        <f t="shared" si="14"/>
        <v>18.130841121495326</v>
      </c>
      <c r="D128">
        <f t="shared" si="15"/>
        <v>-18.130841121495326</v>
      </c>
      <c r="E128">
        <f t="shared" si="16"/>
        <v>0.2918274920656353</v>
      </c>
      <c r="G128" s="63">
        <v>1</v>
      </c>
      <c r="H128" s="63">
        <f>G128/60</f>
        <v>1.6666666666666666E-2</v>
      </c>
      <c r="I128" s="63">
        <f t="shared" si="17"/>
        <v>19.635910344841349</v>
      </c>
      <c r="J128" s="63">
        <f t="shared" ref="J128:J187" si="18">$E$71/2</f>
        <v>10</v>
      </c>
      <c r="K128" s="63">
        <v>60</v>
      </c>
      <c r="L128" s="63">
        <v>0</v>
      </c>
    </row>
    <row r="129" spans="1:12" ht="13.5" customHeight="1">
      <c r="A129">
        <v>96</v>
      </c>
      <c r="B129">
        <f t="shared" si="13"/>
        <v>18.167231965298718</v>
      </c>
      <c r="C129">
        <f t="shared" si="14"/>
        <v>18.113207547169811</v>
      </c>
      <c r="D129">
        <f t="shared" si="15"/>
        <v>-18.113207547169811</v>
      </c>
      <c r="E129">
        <f t="shared" si="16"/>
        <v>0.29737286468351243</v>
      </c>
      <c r="G129" s="63">
        <v>2</v>
      </c>
      <c r="H129" s="63">
        <f>G129/60</f>
        <v>3.3333333333333333E-2</v>
      </c>
      <c r="I129" s="63">
        <f t="shared" si="17"/>
        <v>19.272925366990961</v>
      </c>
      <c r="J129" s="63">
        <f t="shared" si="18"/>
        <v>10</v>
      </c>
      <c r="K129" s="63"/>
      <c r="L129" s="63"/>
    </row>
    <row r="130" spans="1:12" ht="13.5" customHeight="1">
      <c r="A130">
        <v>95</v>
      </c>
      <c r="B130">
        <f t="shared" si="13"/>
        <v>18.150247492457375</v>
      </c>
      <c r="C130">
        <f t="shared" si="14"/>
        <v>18.095238095238095</v>
      </c>
      <c r="D130">
        <f t="shared" si="15"/>
        <v>-18.095238095238095</v>
      </c>
      <c r="E130">
        <f t="shared" si="16"/>
        <v>0.30307794558801365</v>
      </c>
      <c r="G130" s="63">
        <v>3</v>
      </c>
      <c r="H130" s="63">
        <f t="shared" ref="H130:H187" si="19">G130/60</f>
        <v>0.05</v>
      </c>
      <c r="I130" s="63">
        <f t="shared" si="17"/>
        <v>18.911041714769041</v>
      </c>
      <c r="J130" s="63">
        <f t="shared" si="18"/>
        <v>10</v>
      </c>
      <c r="K130" s="63"/>
      <c r="L130" s="63"/>
    </row>
    <row r="131" spans="1:12" ht="13.5" customHeight="1">
      <c r="A131">
        <v>94</v>
      </c>
      <c r="B131">
        <f t="shared" si="13"/>
        <v>18.132944615702215</v>
      </c>
      <c r="C131">
        <f t="shared" si="14"/>
        <v>18.076923076923077</v>
      </c>
      <c r="D131">
        <f t="shared" si="15"/>
        <v>-18.076923076923077</v>
      </c>
      <c r="E131">
        <f t="shared" si="16"/>
        <v>0.30894893226898318</v>
      </c>
      <c r="G131" s="63">
        <v>4</v>
      </c>
      <c r="H131" s="63">
        <f t="shared" si="19"/>
        <v>6.6666666666666666E-2</v>
      </c>
      <c r="I131" s="63">
        <f t="shared" si="17"/>
        <v>18.550256046664984</v>
      </c>
      <c r="J131" s="63">
        <f t="shared" si="18"/>
        <v>10</v>
      </c>
      <c r="K131" s="63"/>
      <c r="L131" s="63"/>
    </row>
    <row r="132" spans="1:12" ht="13.5" customHeight="1">
      <c r="A132">
        <v>93</v>
      </c>
      <c r="B132">
        <f t="shared" si="13"/>
        <v>18.115314276994873</v>
      </c>
      <c r="C132">
        <f t="shared" si="14"/>
        <v>18.058252427184467</v>
      </c>
      <c r="D132">
        <f t="shared" si="15"/>
        <v>-18.058252427184467</v>
      </c>
      <c r="E132">
        <f t="shared" si="16"/>
        <v>0.31499232603913729</v>
      </c>
      <c r="G132" s="63">
        <v>5</v>
      </c>
      <c r="H132" s="63">
        <f t="shared" si="19"/>
        <v>8.3333333333333329E-2</v>
      </c>
      <c r="I132" s="63">
        <f t="shared" si="17"/>
        <v>18.190565031306647</v>
      </c>
      <c r="J132" s="63">
        <f t="shared" si="18"/>
        <v>10</v>
      </c>
      <c r="K132" s="63"/>
      <c r="L132" s="63"/>
    </row>
    <row r="133" spans="1:12" ht="13.5" customHeight="1">
      <c r="A133">
        <v>92</v>
      </c>
      <c r="B133">
        <f t="shared" si="13"/>
        <v>18.097347070636996</v>
      </c>
      <c r="C133">
        <f t="shared" si="14"/>
        <v>18.03921568627451</v>
      </c>
      <c r="D133">
        <f t="shared" si="15"/>
        <v>-18.03921568627451</v>
      </c>
      <c r="E133">
        <f t="shared" si="16"/>
        <v>0.32121495010063977</v>
      </c>
      <c r="G133" s="63">
        <v>6</v>
      </c>
      <c r="H133" s="63">
        <f t="shared" si="19"/>
        <v>0.1</v>
      </c>
      <c r="I133" s="63">
        <f t="shared" si="17"/>
        <v>17.831965347429517</v>
      </c>
      <c r="J133" s="63">
        <f t="shared" si="18"/>
        <v>10</v>
      </c>
      <c r="K133" s="63"/>
      <c r="L133" s="63"/>
    </row>
    <row r="134" spans="1:12" ht="13.5" customHeight="1">
      <c r="A134">
        <v>91</v>
      </c>
      <c r="B134">
        <f t="shared" si="13"/>
        <v>18.079033226389061</v>
      </c>
      <c r="C134">
        <f t="shared" si="14"/>
        <v>18.019801980198018</v>
      </c>
      <c r="D134">
        <f t="shared" si="15"/>
        <v>-18.019801980198022</v>
      </c>
      <c r="E134">
        <f t="shared" si="16"/>
        <v>0.32762396887786149</v>
      </c>
      <c r="G134" s="63">
        <v>7</v>
      </c>
      <c r="H134" s="63">
        <f t="shared" si="19"/>
        <v>0.11666666666666667</v>
      </c>
      <c r="I134" s="63">
        <f t="shared" si="17"/>
        <v>17.474453683846093</v>
      </c>
      <c r="J134" s="63">
        <f t="shared" si="18"/>
        <v>10</v>
      </c>
      <c r="K134" s="63"/>
      <c r="L134" s="63"/>
    </row>
    <row r="135" spans="1:12" ht="13.5" customHeight="1">
      <c r="A135">
        <v>90</v>
      </c>
      <c r="B135">
        <f t="shared" si="13"/>
        <v>18.060362591593613</v>
      </c>
      <c r="C135">
        <f t="shared" si="14"/>
        <v>18</v>
      </c>
      <c r="D135">
        <f t="shared" si="15"/>
        <v>-18</v>
      </c>
      <c r="E135">
        <f t="shared" si="16"/>
        <v>0.33422690872058791</v>
      </c>
      <c r="G135" s="63">
        <v>8</v>
      </c>
      <c r="H135" s="63">
        <f t="shared" si="19"/>
        <v>0.13333333333333333</v>
      </c>
      <c r="I135" s="63">
        <f t="shared" si="17"/>
        <v>17.118026739415228</v>
      </c>
      <c r="J135" s="63">
        <f t="shared" si="18"/>
        <v>10</v>
      </c>
      <c r="K135" s="63"/>
      <c r="L135" s="63"/>
    </row>
    <row r="136" spans="1:12" ht="13.5" customHeight="1">
      <c r="A136">
        <v>89</v>
      </c>
      <c r="B136">
        <f t="shared" si="13"/>
        <v>18.04132461223335</v>
      </c>
      <c r="C136">
        <f t="shared" si="14"/>
        <v>17.979797979797979</v>
      </c>
      <c r="D136">
        <f t="shared" si="15"/>
        <v>-17.979797979797979</v>
      </c>
      <c r="E136">
        <f t="shared" si="16"/>
        <v>0.34103168008878287</v>
      </c>
      <c r="G136" s="63">
        <v>9</v>
      </c>
      <c r="H136" s="63">
        <f t="shared" si="19"/>
        <v>0.15</v>
      </c>
      <c r="I136" s="63">
        <f t="shared" si="17"/>
        <v>16.762681223011768</v>
      </c>
      <c r="J136" s="63">
        <f t="shared" si="18"/>
        <v>10</v>
      </c>
      <c r="K136" s="63"/>
      <c r="L136" s="63"/>
    </row>
    <row r="137" spans="1:12" ht="13.5" customHeight="1">
      <c r="A137">
        <v>88</v>
      </c>
      <c r="B137">
        <f t="shared" si="13"/>
        <v>18.021908312849163</v>
      </c>
      <c r="C137">
        <f t="shared" si="14"/>
        <v>17.959183673469386</v>
      </c>
      <c r="D137">
        <f t="shared" si="15"/>
        <v>-17.959183673469386</v>
      </c>
      <c r="E137">
        <f t="shared" si="16"/>
        <v>0.34804660134163384</v>
      </c>
      <c r="G137" s="63">
        <v>10</v>
      </c>
      <c r="H137" s="63">
        <f t="shared" si="19"/>
        <v>0.16666666666666666</v>
      </c>
      <c r="I137" s="63">
        <f t="shared" si="17"/>
        <v>16.408413853496043</v>
      </c>
      <c r="J137" s="63">
        <f t="shared" si="18"/>
        <v>10</v>
      </c>
      <c r="K137" s="63"/>
      <c r="L137" s="63"/>
    </row>
    <row r="138" spans="1:12" ht="13.5" customHeight="1">
      <c r="A138">
        <v>87</v>
      </c>
      <c r="B138">
        <f t="shared" si="13"/>
        <v>18.00210227523705</v>
      </c>
      <c r="C138">
        <f t="shared" si="14"/>
        <v>17.938144329896907</v>
      </c>
      <c r="D138">
        <f t="shared" si="15"/>
        <v>-17.938144329896907</v>
      </c>
      <c r="E138">
        <f t="shared" si="16"/>
        <v>0.35528042426533896</v>
      </c>
      <c r="G138" s="63">
        <v>11</v>
      </c>
      <c r="H138" s="63">
        <f t="shared" si="19"/>
        <v>0.18333333333333332</v>
      </c>
      <c r="I138" s="63">
        <f t="shared" si="17"/>
        <v>16.055221359683671</v>
      </c>
      <c r="J138" s="63">
        <f t="shared" si="18"/>
        <v>10</v>
      </c>
      <c r="K138" s="63"/>
      <c r="L138" s="63"/>
    </row>
    <row r="139" spans="1:12" ht="13.5" customHeight="1">
      <c r="A139">
        <v>86</v>
      </c>
      <c r="B139">
        <f t="shared" si="13"/>
        <v>17.981894615836108</v>
      </c>
      <c r="C139">
        <f t="shared" si="14"/>
        <v>17.916666666666668</v>
      </c>
      <c r="D139">
        <f t="shared" si="15"/>
        <v>-17.916666666666668</v>
      </c>
      <c r="E139">
        <f t="shared" si="16"/>
        <v>0.36274236148617961</v>
      </c>
      <c r="G139" s="63">
        <v>12</v>
      </c>
      <c r="H139" s="63">
        <f t="shared" si="19"/>
        <v>0.2</v>
      </c>
      <c r="I139" s="63">
        <f t="shared" si="17"/>
        <v>15.703100480315271</v>
      </c>
      <c r="J139" s="63">
        <f t="shared" si="18"/>
        <v>10</v>
      </c>
      <c r="K139" s="63"/>
      <c r="L139" s="63"/>
    </row>
    <row r="140" spans="1:12" ht="13.5" customHeight="1">
      <c r="A140">
        <v>85</v>
      </c>
      <c r="B140">
        <f t="shared" si="13"/>
        <v>17.961272961712591</v>
      </c>
      <c r="C140">
        <f t="shared" si="14"/>
        <v>17.894736842105264</v>
      </c>
      <c r="D140">
        <f t="shared" si="15"/>
        <v>-17.894736842105264</v>
      </c>
      <c r="E140">
        <f t="shared" si="16"/>
        <v>0.37044211592998133</v>
      </c>
      <c r="G140" s="63">
        <v>13</v>
      </c>
      <c r="H140" s="63">
        <f t="shared" si="19"/>
        <v>0.21666666666666667</v>
      </c>
      <c r="I140" s="63">
        <f t="shared" si="17"/>
        <v>15.352047964026383</v>
      </c>
      <c r="J140" s="63">
        <f t="shared" si="18"/>
        <v>10</v>
      </c>
      <c r="K140" s="63"/>
      <c r="L140" s="63"/>
    </row>
    <row r="141" spans="1:12" ht="13.5" customHeight="1">
      <c r="A141">
        <v>84</v>
      </c>
      <c r="B141">
        <f t="shared" si="13"/>
        <v>17.940224425036963</v>
      </c>
      <c r="C141">
        <f t="shared" si="14"/>
        <v>17.872340425531913</v>
      </c>
      <c r="D141">
        <f t="shared" si="15"/>
        <v>-17.872340425531913</v>
      </c>
      <c r="E141">
        <f t="shared" si="16"/>
        <v>0.37838991250472981</v>
      </c>
      <c r="G141" s="63">
        <v>14</v>
      </c>
      <c r="H141" s="63">
        <f t="shared" si="19"/>
        <v>0.23333333333333334</v>
      </c>
      <c r="I141" s="63">
        <f t="shared" si="17"/>
        <v>15.002060569317493</v>
      </c>
      <c r="J141" s="63">
        <f t="shared" si="18"/>
        <v>10</v>
      </c>
      <c r="K141" s="63"/>
      <c r="L141" s="63"/>
    </row>
    <row r="142" spans="1:12" ht="13.5" customHeight="1">
      <c r="A142">
        <v>83</v>
      </c>
      <c r="B142">
        <f t="shared" si="13"/>
        <v>17.918735575942147</v>
      </c>
      <c r="C142">
        <f t="shared" si="14"/>
        <v>17.849462365591396</v>
      </c>
      <c r="D142">
        <f t="shared" si="15"/>
        <v>-17.849462365591396</v>
      </c>
      <c r="E142">
        <f t="shared" si="16"/>
        <v>0.38659653220039575</v>
      </c>
      <c r="G142" s="63">
        <v>15</v>
      </c>
      <c r="H142" s="63">
        <f t="shared" si="19"/>
        <v>0.25</v>
      </c>
      <c r="I142" s="63">
        <f t="shared" si="17"/>
        <v>14.653135064524008</v>
      </c>
      <c r="J142" s="63">
        <f t="shared" si="18"/>
        <v>10</v>
      </c>
      <c r="K142" s="63"/>
      <c r="L142" s="63"/>
    </row>
    <row r="143" spans="1:12" ht="13.5" customHeight="1">
      <c r="A143">
        <v>82</v>
      </c>
      <c r="B143">
        <f t="shared" si="13"/>
        <v>17.896792413641474</v>
      </c>
      <c r="C143">
        <f t="shared" si="14"/>
        <v>17.826086956521738</v>
      </c>
      <c r="D143">
        <f t="shared" si="15"/>
        <v>-17.826086956521738</v>
      </c>
      <c r="E143">
        <f t="shared" si="16"/>
        <v>0.39507334881887696</v>
      </c>
      <c r="G143" s="63">
        <v>16</v>
      </c>
      <c r="H143" s="63">
        <f t="shared" si="19"/>
        <v>0.26666666666666666</v>
      </c>
      <c r="I143" s="63">
        <f t="shared" si="17"/>
        <v>14.305268227786513</v>
      </c>
      <c r="J143" s="63">
        <f t="shared" si="18"/>
        <v>10</v>
      </c>
      <c r="K143" s="63"/>
      <c r="L143" s="63"/>
    </row>
    <row r="144" spans="1:12" ht="13.5" customHeight="1">
      <c r="A144">
        <v>81</v>
      </c>
      <c r="B144">
        <f t="shared" si="13"/>
        <v>17.874380335674473</v>
      </c>
      <c r="C144">
        <f t="shared" si="14"/>
        <v>17.802197802197803</v>
      </c>
      <c r="D144">
        <f t="shared" si="15"/>
        <v>-17.802197802197803</v>
      </c>
      <c r="E144">
        <f t="shared" si="16"/>
        <v>0.4038323685694743</v>
      </c>
      <c r="G144" s="63">
        <v>17</v>
      </c>
      <c r="H144" s="63">
        <f t="shared" si="19"/>
        <v>0.28333333333333333</v>
      </c>
      <c r="I144" s="63">
        <f t="shared" si="17"/>
        <v>13.958456847020912</v>
      </c>
      <c r="J144" s="63">
        <f t="shared" si="18"/>
        <v>10</v>
      </c>
      <c r="K144" s="63"/>
      <c r="L144" s="63"/>
    </row>
    <row r="145" spans="1:12" ht="13.5" customHeight="1">
      <c r="A145">
        <v>80</v>
      </c>
      <c r="B145">
        <f t="shared" si="13"/>
        <v>17.85148410513678</v>
      </c>
      <c r="C145">
        <f t="shared" si="14"/>
        <v>17.777777777777779</v>
      </c>
      <c r="D145">
        <f t="shared" si="15"/>
        <v>-17.777777777777779</v>
      </c>
      <c r="E145">
        <f t="shared" si="16"/>
        <v>0.41288627278777718</v>
      </c>
      <c r="G145" s="63">
        <v>18</v>
      </c>
      <c r="H145" s="63">
        <f t="shared" si="19"/>
        <v>0.3</v>
      </c>
      <c r="I145" s="63">
        <f t="shared" si="17"/>
        <v>13.612697719888871</v>
      </c>
      <c r="J145" s="63">
        <f t="shared" si="18"/>
        <v>10</v>
      </c>
      <c r="K145" s="63"/>
      <c r="L145" s="63"/>
    </row>
    <row r="146" spans="1:12" ht="13.5" customHeight="1">
      <c r="A146">
        <v>79</v>
      </c>
      <c r="B146">
        <f t="shared" si="13"/>
        <v>17.828087815737909</v>
      </c>
      <c r="C146">
        <f t="shared" si="14"/>
        <v>17.752808988764045</v>
      </c>
      <c r="D146">
        <f t="shared" si="15"/>
        <v>-17.752808988764045</v>
      </c>
      <c r="E146">
        <f t="shared" si="16"/>
        <v>0.42224846406360739</v>
      </c>
      <c r="G146" s="63">
        <v>19</v>
      </c>
      <c r="H146" s="63">
        <f t="shared" si="19"/>
        <v>0.31666666666666665</v>
      </c>
      <c r="I146" s="63">
        <f t="shared" si="17"/>
        <v>13.267987653768216</v>
      </c>
      <c r="J146" s="63">
        <f t="shared" si="18"/>
        <v>10</v>
      </c>
      <c r="K146" s="63"/>
      <c r="L146" s="63"/>
    </row>
    <row r="147" spans="1:12" ht="13.5" customHeight="1">
      <c r="A147">
        <v>78</v>
      </c>
      <c r="B147">
        <f t="shared" si="13"/>
        <v>17.804174854516454</v>
      </c>
      <c r="C147">
        <f t="shared" si="14"/>
        <v>17.727272727272727</v>
      </c>
      <c r="D147">
        <f t="shared" si="15"/>
        <v>-17.727272727272727</v>
      </c>
      <c r="E147">
        <f t="shared" si="16"/>
        <v>0.43193311609281954</v>
      </c>
      <c r="G147" s="63">
        <v>20</v>
      </c>
      <c r="H147" s="63">
        <f t="shared" si="19"/>
        <v>0.33333333333333331</v>
      </c>
      <c r="I147" s="63">
        <f t="shared" si="17"/>
        <v>12.924323465723432</v>
      </c>
      <c r="J147" s="63">
        <f t="shared" si="18"/>
        <v>10</v>
      </c>
      <c r="K147" s="63"/>
      <c r="L147" s="63"/>
    </row>
    <row r="148" spans="1:12" ht="13.5" customHeight="1">
      <c r="A148">
        <v>77</v>
      </c>
      <c r="B148">
        <f t="shared" si="13"/>
        <v>17.779727862026824</v>
      </c>
      <c r="C148">
        <f t="shared" si="14"/>
        <v>17.701149425287355</v>
      </c>
      <c r="D148">
        <f t="shared" si="15"/>
        <v>-17.701149425287358</v>
      </c>
      <c r="E148">
        <f t="shared" si="16"/>
        <v>0.44195522760105999</v>
      </c>
      <c r="G148" s="63">
        <v>21</v>
      </c>
      <c r="H148" s="63">
        <f t="shared" si="19"/>
        <v>0.35</v>
      </c>
      <c r="I148" s="63">
        <f t="shared" si="17"/>
        <v>12.581701982476247</v>
      </c>
      <c r="J148" s="63">
        <f t="shared" si="18"/>
        <v>10</v>
      </c>
      <c r="K148" s="63"/>
      <c r="L148" s="63"/>
    </row>
    <row r="149" spans="1:12" ht="13.5" customHeight="1">
      <c r="A149">
        <v>76</v>
      </c>
      <c r="B149">
        <f t="shared" si="13"/>
        <v>17.754728689794387</v>
      </c>
      <c r="C149">
        <f t="shared" si="14"/>
        <v>17.674418604651162</v>
      </c>
      <c r="D149">
        <f t="shared" si="15"/>
        <v>-17.674418604651162</v>
      </c>
      <c r="E149">
        <f t="shared" si="16"/>
        <v>0.452330680723879</v>
      </c>
      <c r="G149" s="63">
        <v>22</v>
      </c>
      <c r="H149" s="63">
        <f t="shared" si="19"/>
        <v>0.36666666666666664</v>
      </c>
      <c r="I149" s="63">
        <f t="shared" si="17"/>
        <v>12.240120040376468</v>
      </c>
      <c r="J149" s="63">
        <f t="shared" si="18"/>
        <v>10</v>
      </c>
      <c r="K149" s="63"/>
      <c r="L149" s="63"/>
    </row>
    <row r="150" spans="1:12" ht="13.5" customHeight="1">
      <c r="A150">
        <v>75</v>
      </c>
      <c r="B150">
        <f t="shared" si="13"/>
        <v>17.729158354817276</v>
      </c>
      <c r="C150">
        <f t="shared" si="14"/>
        <v>17.647058823529413</v>
      </c>
      <c r="D150">
        <f t="shared" si="15"/>
        <v>-17.647058823529413</v>
      </c>
      <c r="E150">
        <f t="shared" si="16"/>
        <v>0.46307630427112351</v>
      </c>
      <c r="G150" s="63">
        <v>23</v>
      </c>
      <c r="H150" s="63">
        <f t="shared" si="19"/>
        <v>0.38333333333333336</v>
      </c>
      <c r="I150" s="63">
        <f t="shared" si="17"/>
        <v>11.899574485372582</v>
      </c>
      <c r="J150" s="63">
        <f t="shared" si="18"/>
        <v>10</v>
      </c>
      <c r="K150" s="63"/>
    </row>
    <row r="151" spans="1:12" ht="13.5" customHeight="1">
      <c r="A151">
        <v>74</v>
      </c>
      <c r="B151">
        <f t="shared" si="13"/>
        <v>17.702996990871721</v>
      </c>
      <c r="C151">
        <f t="shared" si="14"/>
        <v>17.61904761904762</v>
      </c>
      <c r="D151">
        <f t="shared" si="15"/>
        <v>-17.61904761904762</v>
      </c>
      <c r="E151">
        <f t="shared" si="16"/>
        <v>0.47420994234698283</v>
      </c>
      <c r="G151" s="63">
        <v>24</v>
      </c>
      <c r="H151" s="63">
        <f t="shared" si="19"/>
        <v>0.4</v>
      </c>
      <c r="I151" s="63">
        <f t="shared" si="17"/>
        <v>11.560062172982754</v>
      </c>
      <c r="J151" s="63">
        <f t="shared" si="18"/>
        <v>10</v>
      </c>
      <c r="K151" s="63"/>
    </row>
    <row r="152" spans="1:12" ht="13.5" customHeight="1">
      <c r="A152">
        <v>73</v>
      </c>
      <c r="B152">
        <f t="shared" si="13"/>
        <v>17.676223796355131</v>
      </c>
      <c r="C152">
        <f t="shared" si="14"/>
        <v>17.590361445783131</v>
      </c>
      <c r="D152">
        <f t="shared" si="15"/>
        <v>-17.590361445783131</v>
      </c>
      <c r="E152">
        <f t="shared" si="16"/>
        <v>0.48575052885280501</v>
      </c>
      <c r="G152" s="63">
        <v>25</v>
      </c>
      <c r="H152" s="63">
        <f t="shared" si="19"/>
        <v>0.41666666666666669</v>
      </c>
      <c r="I152" s="63">
        <f t="shared" si="17"/>
        <v>11.221579968265758</v>
      </c>
      <c r="J152" s="63">
        <f t="shared" si="18"/>
        <v>10</v>
      </c>
      <c r="K152" s="63"/>
    </row>
    <row r="153" spans="1:12" ht="13.5" customHeight="1">
      <c r="A153">
        <v>72</v>
      </c>
      <c r="B153">
        <f t="shared" si="13"/>
        <v>17.648816978374914</v>
      </c>
      <c r="C153">
        <f t="shared" si="14"/>
        <v>17.560975609756099</v>
      </c>
      <c r="D153">
        <f t="shared" si="15"/>
        <v>-17.560975609756099</v>
      </c>
      <c r="E153">
        <f t="shared" si="16"/>
        <v>0.49771816845540762</v>
      </c>
      <c r="G153" s="63">
        <v>26</v>
      </c>
      <c r="H153" s="63">
        <f t="shared" si="19"/>
        <v>0.43333333333333335</v>
      </c>
      <c r="I153" s="63">
        <f t="shared" si="17"/>
        <v>10.884124745792036</v>
      </c>
      <c r="J153" s="63">
        <f t="shared" si="18"/>
        <v>10</v>
      </c>
      <c r="K153" s="63"/>
    </row>
    <row r="154" spans="1:12" ht="13.5" customHeight="1">
      <c r="A154">
        <v>71</v>
      </c>
      <c r="B154">
        <f t="shared" si="13"/>
        <v>17.620753692762964</v>
      </c>
      <c r="C154">
        <f t="shared" si="14"/>
        <v>17.530864197530864</v>
      </c>
      <c r="D154">
        <f t="shared" si="15"/>
        <v>-17.530864197530864</v>
      </c>
      <c r="E154">
        <f t="shared" si="16"/>
        <v>0.51013422467291336</v>
      </c>
      <c r="G154" s="63">
        <v>27</v>
      </c>
      <c r="H154" s="63">
        <f t="shared" si="19"/>
        <v>0.45</v>
      </c>
      <c r="I154" s="63">
        <f t="shared" si="17"/>
        <v>10.547693389614821</v>
      </c>
      <c r="J154" s="63">
        <f t="shared" si="18"/>
        <v>10</v>
      </c>
      <c r="K154" s="63"/>
    </row>
    <row r="155" spans="1:12" ht="13.5" customHeight="1">
      <c r="A155">
        <v>70</v>
      </c>
      <c r="B155">
        <f t="shared" si="13"/>
        <v>17.59200997966343</v>
      </c>
      <c r="C155">
        <f t="shared" si="14"/>
        <v>17.5</v>
      </c>
      <c r="D155">
        <f t="shared" si="15"/>
        <v>-17.5</v>
      </c>
      <c r="E155">
        <f t="shared" si="16"/>
        <v>0.52302141580066752</v>
      </c>
      <c r="G155" s="63">
        <v>28</v>
      </c>
      <c r="H155" s="63">
        <f t="shared" si="19"/>
        <v>0.46666666666666667</v>
      </c>
      <c r="I155" s="63">
        <f t="shared" si="17"/>
        <v>10.212282793241428</v>
      </c>
      <c r="J155" s="63">
        <f t="shared" si="18"/>
        <v>10</v>
      </c>
      <c r="K155" s="63"/>
    </row>
    <row r="156" spans="1:12" ht="13.5" customHeight="1">
      <c r="A156">
        <v>69</v>
      </c>
      <c r="B156">
        <f t="shared" si="13"/>
        <v>17.562560694306747</v>
      </c>
      <c r="C156">
        <f t="shared" si="14"/>
        <v>17.468354430379748</v>
      </c>
      <c r="D156">
        <f t="shared" si="15"/>
        <v>-17.468354430379748</v>
      </c>
      <c r="E156">
        <f t="shared" si="16"/>
        <v>0.53640391948958777</v>
      </c>
      <c r="G156" s="63">
        <v>29</v>
      </c>
      <c r="H156" s="63">
        <f t="shared" si="19"/>
        <v>0.48333333333333334</v>
      </c>
      <c r="I156" s="63">
        <f t="shared" si="17"/>
        <v>9.8778898596044229</v>
      </c>
      <c r="J156" s="63">
        <f t="shared" si="18"/>
        <v>10</v>
      </c>
      <c r="K156" s="63"/>
    </row>
    <row r="157" spans="1:12" ht="13.5" customHeight="1">
      <c r="A157">
        <v>68</v>
      </c>
      <c r="B157">
        <f t="shared" ref="B157:B188" si="20">A157/$I$72*LN(($E$71+A157)/($I$71+A157))</f>
        <v>17.53237943254279</v>
      </c>
      <c r="C157">
        <f t="shared" si="14"/>
        <v>17.435897435897434</v>
      </c>
      <c r="D157">
        <f t="shared" ref="D157:D188" si="21">-$B$104*((A157-$E$100)/($I$91+A157)-$E$101)</f>
        <v>-17.435897435897438</v>
      </c>
      <c r="E157">
        <f t="shared" si="16"/>
        <v>0.5503074868792196</v>
      </c>
      <c r="G157" s="63">
        <v>30</v>
      </c>
      <c r="H157" s="63">
        <f t="shared" si="19"/>
        <v>0.5</v>
      </c>
      <c r="I157" s="63">
        <f t="shared" si="17"/>
        <v>9.5445115010332273</v>
      </c>
      <c r="J157" s="63">
        <f t="shared" si="18"/>
        <v>10</v>
      </c>
      <c r="K157" s="63"/>
    </row>
    <row r="158" spans="1:12" ht="13.5" customHeight="1">
      <c r="A158">
        <v>67</v>
      </c>
      <c r="B158">
        <f t="shared" si="20"/>
        <v>17.501438450662381</v>
      </c>
      <c r="C158">
        <f t="shared" si="14"/>
        <v>17.402597402597401</v>
      </c>
      <c r="D158">
        <f t="shared" si="21"/>
        <v>-17.402597402597401</v>
      </c>
      <c r="E158">
        <f t="shared" si="16"/>
        <v>0.56475956729853183</v>
      </c>
      <c r="G158" s="63">
        <v>31</v>
      </c>
      <c r="H158" s="63">
        <f t="shared" si="19"/>
        <v>0.51666666666666672</v>
      </c>
      <c r="I158" s="63">
        <f t="shared" si="17"/>
        <v>9.2121446392254427</v>
      </c>
      <c r="J158" s="63">
        <f t="shared" si="18"/>
        <v>10</v>
      </c>
      <c r="K158" s="63"/>
    </row>
    <row r="159" spans="1:12" ht="13.5" customHeight="1">
      <c r="A159">
        <v>66</v>
      </c>
      <c r="B159">
        <f t="shared" si="20"/>
        <v>17.469708578987422</v>
      </c>
      <c r="C159">
        <f t="shared" si="14"/>
        <v>17.368421052631579</v>
      </c>
      <c r="D159">
        <f t="shared" si="21"/>
        <v>-17.368421052631579</v>
      </c>
      <c r="E159">
        <f t="shared" si="16"/>
        <v>0.57978944467151672</v>
      </c>
      <c r="G159" s="63">
        <v>32</v>
      </c>
      <c r="H159" s="63">
        <f t="shared" si="19"/>
        <v>0.53333333333333333</v>
      </c>
      <c r="I159" s="63">
        <f t="shared" ref="I159:I187" si="22">($E$71+$G$125)*EXP(-$H$125*H159/$G$125)-$G$125</f>
        <v>8.8807862052184987</v>
      </c>
      <c r="J159" s="63">
        <f t="shared" si="18"/>
        <v>10</v>
      </c>
      <c r="K159" s="63"/>
    </row>
    <row r="160" spans="1:12" ht="13.5" customHeight="1">
      <c r="A160">
        <v>65</v>
      </c>
      <c r="B160">
        <f t="shared" si="20"/>
        <v>17.437159128654159</v>
      </c>
      <c r="C160">
        <f t="shared" si="14"/>
        <v>17.333333333333332</v>
      </c>
      <c r="D160">
        <f t="shared" si="21"/>
        <v>-17.333333333333336</v>
      </c>
      <c r="E160">
        <f t="shared" si="16"/>
        <v>0.59542838689939803</v>
      </c>
      <c r="G160" s="63">
        <v>33</v>
      </c>
      <c r="H160" s="63">
        <f t="shared" si="19"/>
        <v>0.55000000000000004</v>
      </c>
      <c r="I160" s="63">
        <f t="shared" si="22"/>
        <v>8.5504331393613171</v>
      </c>
      <c r="J160" s="63">
        <f t="shared" si="18"/>
        <v>10</v>
      </c>
      <c r="K160" s="63"/>
    </row>
    <row r="161" spans="1:11" ht="13.5" customHeight="1">
      <c r="A161">
        <v>64</v>
      </c>
      <c r="B161">
        <f t="shared" si="20"/>
        <v>17.403757790953073</v>
      </c>
      <c r="C161">
        <f t="shared" si="14"/>
        <v>17.297297297297298</v>
      </c>
      <c r="D161">
        <f t="shared" si="21"/>
        <v>-17.297297297297298</v>
      </c>
      <c r="E161">
        <f t="shared" si="16"/>
        <v>0.61170980965452881</v>
      </c>
      <c r="G161" s="63">
        <v>34</v>
      </c>
      <c r="H161" s="63">
        <f t="shared" si="19"/>
        <v>0.56666666666666665</v>
      </c>
      <c r="I161" s="63">
        <f t="shared" si="22"/>
        <v>8.2210823912860462</v>
      </c>
      <c r="J161" s="63">
        <f t="shared" si="18"/>
        <v>10</v>
      </c>
      <c r="K161" s="63"/>
    </row>
    <row r="162" spans="1:11" ht="13.5" customHeight="1">
      <c r="A162">
        <v>63</v>
      </c>
      <c r="B162">
        <f t="shared" si="20"/>
        <v>17.369470528519109</v>
      </c>
      <c r="C162">
        <f t="shared" si="14"/>
        <v>17.260273972602739</v>
      </c>
      <c r="D162">
        <f t="shared" si="21"/>
        <v>-17.260273972602739</v>
      </c>
      <c r="E162">
        <f t="shared" si="16"/>
        <v>0.62866945619947789</v>
      </c>
      <c r="G162" s="63">
        <v>35</v>
      </c>
      <c r="H162" s="63">
        <f t="shared" si="19"/>
        <v>0.58333333333333337</v>
      </c>
      <c r="I162" s="63">
        <f t="shared" si="22"/>
        <v>7.8927309198798952</v>
      </c>
      <c r="J162" s="63">
        <f t="shared" si="18"/>
        <v>10</v>
      </c>
      <c r="K162" s="63"/>
    </row>
    <row r="163" spans="1:11" ht="13.5" customHeight="1">
      <c r="A163">
        <v>62</v>
      </c>
      <c r="B163">
        <f t="shared" si="20"/>
        <v>17.334261457588013</v>
      </c>
      <c r="C163">
        <f t="shared" si="14"/>
        <v>17.222222222222221</v>
      </c>
      <c r="D163">
        <f t="shared" si="21"/>
        <v>-17.222222222222221</v>
      </c>
      <c r="E163">
        <f t="shared" si="16"/>
        <v>0.6463455950512802</v>
      </c>
      <c r="G163" s="63">
        <v>36</v>
      </c>
      <c r="H163" s="63">
        <f t="shared" si="19"/>
        <v>0.6</v>
      </c>
      <c r="I163" s="63">
        <f t="shared" si="22"/>
        <v>7.5653756932570104</v>
      </c>
      <c r="J163" s="63">
        <f t="shared" si="18"/>
        <v>10</v>
      </c>
      <c r="K163" s="63"/>
    </row>
    <row r="164" spans="1:11" ht="13.5" customHeight="1">
      <c r="A164">
        <v>61</v>
      </c>
      <c r="B164">
        <f t="shared" si="20"/>
        <v>17.298092720446775</v>
      </c>
      <c r="C164">
        <f t="shared" si="14"/>
        <v>17.183098591549296</v>
      </c>
      <c r="D164">
        <f t="shared" si="21"/>
        <v>-17.183098591549296</v>
      </c>
      <c r="E164">
        <f t="shared" si="16"/>
        <v>0.66477923754884727</v>
      </c>
      <c r="G164" s="63">
        <v>37</v>
      </c>
      <c r="H164" s="63">
        <f t="shared" si="19"/>
        <v>0.6166666666666667</v>
      </c>
      <c r="I164" s="63">
        <f t="shared" si="22"/>
        <v>7.2390136887306085</v>
      </c>
      <c r="J164" s="63">
        <f t="shared" si="18"/>
        <v>10</v>
      </c>
    </row>
    <row r="165" spans="1:11" ht="13.5" customHeight="1">
      <c r="A165">
        <v>60</v>
      </c>
      <c r="B165">
        <f t="shared" si="20"/>
        <v>17.260924347106851</v>
      </c>
      <c r="C165">
        <f t="shared" si="14"/>
        <v>17.142857142857142</v>
      </c>
      <c r="D165">
        <f t="shared" si="21"/>
        <v>-17.142857142857142</v>
      </c>
      <c r="E165">
        <f t="shared" si="16"/>
        <v>0.68401437765120721</v>
      </c>
      <c r="G165" s="63">
        <v>38</v>
      </c>
      <c r="H165" s="63">
        <f t="shared" si="19"/>
        <v>0.6333333333333333</v>
      </c>
      <c r="I165" s="63">
        <f t="shared" si="22"/>
        <v>6.9136418927849093</v>
      </c>
      <c r="J165" s="63">
        <f t="shared" si="18"/>
        <v>10</v>
      </c>
    </row>
    <row r="166" spans="1:11" ht="13.5" customHeight="1">
      <c r="A166">
        <v>59</v>
      </c>
      <c r="B166">
        <f t="shared" si="20"/>
        <v>17.222714105116818</v>
      </c>
      <c r="C166">
        <f t="shared" si="14"/>
        <v>17.10144927536232</v>
      </c>
      <c r="D166">
        <f t="shared" si="21"/>
        <v>-17.10144927536232</v>
      </c>
      <c r="E166">
        <f t="shared" si="16"/>
        <v>0.70409825660678305</v>
      </c>
      <c r="G166" s="63">
        <v>39</v>
      </c>
      <c r="H166" s="63">
        <f t="shared" si="19"/>
        <v>0.65</v>
      </c>
      <c r="I166" s="63">
        <f t="shared" si="22"/>
        <v>6.5892573010474109</v>
      </c>
      <c r="J166" s="63">
        <f t="shared" si="18"/>
        <v>10</v>
      </c>
    </row>
    <row r="167" spans="1:11" ht="13.5" customHeight="1">
      <c r="A167">
        <v>58</v>
      </c>
      <c r="B167">
        <f t="shared" si="20"/>
        <v>17.183417336304</v>
      </c>
      <c r="C167">
        <f t="shared" si="14"/>
        <v>17.058823529411764</v>
      </c>
      <c r="D167">
        <f t="shared" si="21"/>
        <v>-17.058823529411764</v>
      </c>
      <c r="E167">
        <f t="shared" si="16"/>
        <v>0.72508165549236825</v>
      </c>
      <c r="G167" s="63">
        <v>40</v>
      </c>
      <c r="H167" s="63">
        <f t="shared" si="19"/>
        <v>0.66666666666666663</v>
      </c>
      <c r="I167" s="63">
        <f t="shared" si="22"/>
        <v>6.2658569182611075</v>
      </c>
      <c r="J167" s="63">
        <f t="shared" si="18"/>
        <v>10</v>
      </c>
    </row>
    <row r="168" spans="1:11" ht="13.5" customHeight="1">
      <c r="A168">
        <v>57</v>
      </c>
      <c r="B168">
        <f t="shared" si="20"/>
        <v>17.14298677909062</v>
      </c>
      <c r="C168">
        <f t="shared" si="14"/>
        <v>17.014925373134329</v>
      </c>
      <c r="D168">
        <f t="shared" si="21"/>
        <v>-17.014925373134329</v>
      </c>
      <c r="E168">
        <f t="shared" si="16"/>
        <v>0.74701921903415647</v>
      </c>
      <c r="G168" s="63">
        <v>41</v>
      </c>
      <c r="H168" s="63">
        <f t="shared" si="19"/>
        <v>0.68333333333333335</v>
      </c>
      <c r="I168" s="63">
        <f t="shared" si="22"/>
        <v>5.9434377582568629</v>
      </c>
      <c r="J168" s="63">
        <f t="shared" si="18"/>
        <v>10</v>
      </c>
    </row>
    <row r="169" spans="1:11" ht="13.5" customHeight="1">
      <c r="A169">
        <v>56</v>
      </c>
      <c r="B169">
        <f t="shared" si="20"/>
        <v>17.101372374866187</v>
      </c>
      <c r="C169">
        <f t="shared" si="14"/>
        <v>16.969696969696969</v>
      </c>
      <c r="D169">
        <f t="shared" si="21"/>
        <v>-16.969696969696969</v>
      </c>
      <c r="E169">
        <f t="shared" si="16"/>
        <v>0.7699698146023729</v>
      </c>
      <c r="G169" s="63">
        <v>42</v>
      </c>
      <c r="H169" s="63">
        <f t="shared" si="19"/>
        <v>0.7</v>
      </c>
      <c r="I169" s="63">
        <f t="shared" si="22"/>
        <v>5.6219968439258281</v>
      </c>
      <c r="J169" s="63">
        <f t="shared" si="18"/>
        <v>10</v>
      </c>
    </row>
    <row r="170" spans="1:11" ht="13.5" customHeight="1">
      <c r="A170">
        <v>55</v>
      </c>
      <c r="B170">
        <f t="shared" si="20"/>
        <v>17.058521056711168</v>
      </c>
      <c r="C170">
        <f t="shared" si="14"/>
        <v>16.923076923076923</v>
      </c>
      <c r="D170">
        <f t="shared" si="21"/>
        <v>-16.923076923076923</v>
      </c>
      <c r="E170">
        <f t="shared" si="16"/>
        <v>0.79399693082395451</v>
      </c>
      <c r="G170" s="63">
        <v>43</v>
      </c>
      <c r="H170" s="63">
        <f t="shared" si="19"/>
        <v>0.71666666666666667</v>
      </c>
      <c r="I170" s="63">
        <f t="shared" si="22"/>
        <v>5.3015312071918714</v>
      </c>
      <c r="J170" s="63">
        <f t="shared" si="18"/>
        <v>10</v>
      </c>
    </row>
    <row r="171" spans="1:11" ht="13.5" customHeight="1">
      <c r="A171">
        <v>54</v>
      </c>
      <c r="B171">
        <f t="shared" si="20"/>
        <v>17.014376518554354</v>
      </c>
      <c r="C171">
        <f t="shared" si="14"/>
        <v>16.875</v>
      </c>
      <c r="D171">
        <f t="shared" si="21"/>
        <v>-16.875</v>
      </c>
      <c r="E171">
        <f t="shared" si="16"/>
        <v>0.81916912090409</v>
      </c>
      <c r="G171" s="63">
        <v>44</v>
      </c>
      <c r="H171" s="63">
        <f t="shared" si="19"/>
        <v>0.73333333333333328</v>
      </c>
      <c r="I171" s="63">
        <f t="shared" si="22"/>
        <v>4.9820378889843369</v>
      </c>
      <c r="J171" s="63">
        <f t="shared" si="18"/>
        <v>10</v>
      </c>
    </row>
    <row r="172" spans="1:11" ht="13.5" customHeight="1">
      <c r="A172">
        <v>53</v>
      </c>
      <c r="B172">
        <f t="shared" si="20"/>
        <v>16.968878962602268</v>
      </c>
      <c r="C172">
        <f t="shared" si="14"/>
        <v>16.825396825396826</v>
      </c>
      <c r="D172">
        <f t="shared" si="21"/>
        <v>-16.825396825396826</v>
      </c>
      <c r="E172">
        <f t="shared" si="16"/>
        <v>0.84556049649280107</v>
      </c>
      <c r="G172" s="63">
        <v>45</v>
      </c>
      <c r="H172" s="63">
        <f t="shared" si="19"/>
        <v>0.75</v>
      </c>
      <c r="I172" s="63">
        <f t="shared" si="22"/>
        <v>4.66351393921056</v>
      </c>
      <c r="J172" s="63">
        <f t="shared" si="18"/>
        <v>10</v>
      </c>
    </row>
    <row r="173" spans="1:11" ht="13.5" customHeight="1">
      <c r="A173">
        <v>52</v>
      </c>
      <c r="B173">
        <f t="shared" si="20"/>
        <v>16.921964822600653</v>
      </c>
      <c r="C173">
        <f t="shared" si="14"/>
        <v>16.774193548387096</v>
      </c>
      <c r="D173">
        <f t="shared" si="21"/>
        <v>-16.774193548387096</v>
      </c>
      <c r="E173">
        <f t="shared" si="16"/>
        <v>0.87325127881247455</v>
      </c>
      <c r="G173" s="63">
        <v>46</v>
      </c>
      <c r="H173" s="63">
        <f t="shared" si="19"/>
        <v>0.76666666666666672</v>
      </c>
      <c r="I173" s="63">
        <f t="shared" si="22"/>
        <v>4.3459564167287255</v>
      </c>
      <c r="J173" s="63">
        <f t="shared" si="18"/>
        <v>10</v>
      </c>
    </row>
    <row r="174" spans="1:11" ht="13.5" customHeight="1">
      <c r="A174">
        <v>51</v>
      </c>
      <c r="B174">
        <f t="shared" si="20"/>
        <v>16.873566460166472</v>
      </c>
      <c r="C174">
        <f t="shared" si="14"/>
        <v>16.721311475409838</v>
      </c>
      <c r="D174">
        <f t="shared" si="21"/>
        <v>-16.721311475409838</v>
      </c>
      <c r="E174">
        <f t="shared" si="16"/>
        <v>0.90232841477860537</v>
      </c>
      <c r="G174" s="63">
        <v>47</v>
      </c>
      <c r="H174" s="63">
        <f t="shared" si="19"/>
        <v>0.78333333333333333</v>
      </c>
      <c r="I174" s="63">
        <f t="shared" si="22"/>
        <v>4.0293623893206671</v>
      </c>
      <c r="J174" s="63">
        <f t="shared" si="18"/>
        <v>10</v>
      </c>
    </row>
    <row r="175" spans="1:11" ht="13.5" customHeight="1">
      <c r="A175">
        <v>50</v>
      </c>
      <c r="B175">
        <f t="shared" si="20"/>
        <v>16.823611831060646</v>
      </c>
      <c r="C175">
        <f t="shared" si="14"/>
        <v>16.666666666666668</v>
      </c>
      <c r="D175">
        <f t="shared" si="21"/>
        <v>-16.666666666666668</v>
      </c>
      <c r="E175">
        <f t="shared" si="16"/>
        <v>0.93288626705127242</v>
      </c>
      <c r="G175" s="63">
        <v>48</v>
      </c>
      <c r="H175" s="63">
        <f t="shared" si="19"/>
        <v>0.8</v>
      </c>
      <c r="I175" s="63">
        <f t="shared" si="22"/>
        <v>3.7137289336648109</v>
      </c>
      <c r="J175" s="63">
        <f t="shared" si="18"/>
        <v>10</v>
      </c>
    </row>
    <row r="176" spans="1:11" ht="13.5" customHeight="1">
      <c r="A176">
        <v>49</v>
      </c>
      <c r="B176">
        <f t="shared" si="20"/>
        <v>16.772024117845007</v>
      </c>
      <c r="C176">
        <f t="shared" si="14"/>
        <v>16.610169491525422</v>
      </c>
      <c r="D176">
        <f t="shared" si="21"/>
        <v>-16.610169491525426</v>
      </c>
      <c r="E176">
        <f t="shared" si="16"/>
        <v>0.96502738836021207</v>
      </c>
      <c r="G176" s="63">
        <v>49</v>
      </c>
      <c r="H176" s="63">
        <f t="shared" si="19"/>
        <v>0.81666666666666665</v>
      </c>
      <c r="I176" s="63">
        <f t="shared" si="22"/>
        <v>3.399053135309174</v>
      </c>
      <c r="J176" s="63">
        <f t="shared" si="18"/>
        <v>10</v>
      </c>
    </row>
    <row r="177" spans="1:10" ht="13.5" customHeight="1">
      <c r="A177">
        <v>48</v>
      </c>
      <c r="B177">
        <f t="shared" si="20"/>
        <v>16.718721324874359</v>
      </c>
      <c r="C177">
        <f t="shared" si="14"/>
        <v>16.551724137931036</v>
      </c>
      <c r="D177">
        <f t="shared" si="21"/>
        <v>-16.551724137931036</v>
      </c>
      <c r="E177">
        <f t="shared" si="16"/>
        <v>0.99886339211158726</v>
      </c>
      <c r="G177" s="63">
        <v>50</v>
      </c>
      <c r="H177" s="63">
        <f t="shared" si="19"/>
        <v>0.83333333333333337</v>
      </c>
      <c r="I177" s="63">
        <f t="shared" si="22"/>
        <v>3.0853320886444493</v>
      </c>
      <c r="J177" s="63">
        <f t="shared" si="18"/>
        <v>10</v>
      </c>
    </row>
    <row r="178" spans="1:10" ht="13.5" customHeight="1">
      <c r="A178">
        <v>47</v>
      </c>
      <c r="B178">
        <f t="shared" si="20"/>
        <v>16.663615831002652</v>
      </c>
      <c r="C178">
        <f t="shared" si="14"/>
        <v>16.491228070175438</v>
      </c>
      <c r="D178">
        <f t="shared" si="21"/>
        <v>-16.491228070175438</v>
      </c>
      <c r="E178">
        <f t="shared" si="16"/>
        <v>1.0345159332495288</v>
      </c>
      <c r="G178" s="63">
        <v>51</v>
      </c>
      <c r="H178" s="63">
        <f t="shared" si="19"/>
        <v>0.85</v>
      </c>
      <c r="I178" s="63">
        <f t="shared" si="22"/>
        <v>2.7725628968772043</v>
      </c>
      <c r="J178" s="63">
        <f t="shared" si="18"/>
        <v>10</v>
      </c>
    </row>
    <row r="179" spans="1:10" ht="13.5" customHeight="1">
      <c r="A179">
        <v>46</v>
      </c>
      <c r="B179">
        <f t="shared" si="20"/>
        <v>16.606613894717203</v>
      </c>
      <c r="C179">
        <f t="shared" si="14"/>
        <v>16.428571428571427</v>
      </c>
      <c r="D179">
        <f t="shared" si="21"/>
        <v>-16.428571428571427</v>
      </c>
      <c r="E179">
        <f t="shared" si="16"/>
        <v>1.0721178156759195</v>
      </c>
      <c r="G179" s="63">
        <v>52</v>
      </c>
      <c r="H179" s="63">
        <f t="shared" si="19"/>
        <v>0.8666666666666667</v>
      </c>
      <c r="I179" s="63">
        <f t="shared" si="22"/>
        <v>2.4607426720030787</v>
      </c>
      <c r="J179" s="63">
        <f t="shared" si="18"/>
        <v>10</v>
      </c>
    </row>
    <row r="180" spans="1:10" ht="13.5" customHeight="1">
      <c r="A180">
        <v>45</v>
      </c>
      <c r="B180">
        <f t="shared" si="20"/>
        <v>16.547615105639281</v>
      </c>
      <c r="C180">
        <f t="shared" si="14"/>
        <v>16.363636363636363</v>
      </c>
      <c r="D180">
        <f t="shared" si="21"/>
        <v>-16.363636363636363</v>
      </c>
      <c r="E180">
        <f t="shared" si="16"/>
        <v>1.1118142453060755</v>
      </c>
      <c r="G180" s="63">
        <v>53</v>
      </c>
      <c r="H180" s="63">
        <f t="shared" si="19"/>
        <v>0.8833333333333333</v>
      </c>
      <c r="I180" s="63">
        <f t="shared" si="22"/>
        <v>2.1498685347801825</v>
      </c>
      <c r="J180" s="63">
        <f t="shared" si="18"/>
        <v>10</v>
      </c>
    </row>
    <row r="181" spans="1:10" ht="13.5" customHeight="1">
      <c r="A181">
        <v>44</v>
      </c>
      <c r="B181">
        <f t="shared" si="20"/>
        <v>16.48651177542207</v>
      </c>
      <c r="C181">
        <f t="shared" si="14"/>
        <v>16.296296296296298</v>
      </c>
      <c r="D181">
        <f t="shared" si="21"/>
        <v>-16.296296296296294</v>
      </c>
      <c r="E181">
        <f t="shared" si="16"/>
        <v>1.1537642511458583</v>
      </c>
      <c r="G181" s="63">
        <v>54</v>
      </c>
      <c r="H181" s="63">
        <f t="shared" si="19"/>
        <v>0.9</v>
      </c>
      <c r="I181" s="63">
        <f t="shared" si="22"/>
        <v>1.8399376147024213</v>
      </c>
      <c r="J181" s="63">
        <f t="shared" si="18"/>
        <v>10</v>
      </c>
    </row>
    <row r="182" spans="1:10" ht="13.5" customHeight="1">
      <c r="A182">
        <v>43</v>
      </c>
      <c r="B182">
        <f t="shared" si="20"/>
        <v>16.423188260012722</v>
      </c>
      <c r="C182">
        <f t="shared" si="14"/>
        <v>16.226415094339622</v>
      </c>
      <c r="D182">
        <f t="shared" si="21"/>
        <v>-16.226415094339622</v>
      </c>
      <c r="E182">
        <f t="shared" si="16"/>
        <v>1.1981423007383099</v>
      </c>
      <c r="G182" s="63">
        <v>55</v>
      </c>
      <c r="H182" s="63">
        <f t="shared" si="19"/>
        <v>0.91666666666666663</v>
      </c>
      <c r="I182" s="63">
        <f t="shared" si="22"/>
        <v>1.5309470499731361</v>
      </c>
      <c r="J182" s="63">
        <f t="shared" si="18"/>
        <v>10</v>
      </c>
    </row>
    <row r="183" spans="1:10" ht="13.5" customHeight="1">
      <c r="A183">
        <v>42</v>
      </c>
      <c r="B183">
        <f t="shared" si="20"/>
        <v>16.357520203992379</v>
      </c>
      <c r="C183">
        <f t="shared" si="14"/>
        <v>16.153846153846153</v>
      </c>
      <c r="D183">
        <f t="shared" si="21"/>
        <v>-16.153846153846153</v>
      </c>
      <c r="E183">
        <f t="shared" si="16"/>
        <v>1.2451401410863945</v>
      </c>
      <c r="G183" s="63">
        <v>56</v>
      </c>
      <c r="H183" s="63">
        <f t="shared" si="19"/>
        <v>0.93333333333333335</v>
      </c>
      <c r="I183" s="63">
        <f t="shared" si="22"/>
        <v>1.2228939874784857</v>
      </c>
      <c r="J183" s="63">
        <f t="shared" si="18"/>
        <v>10</v>
      </c>
    </row>
    <row r="184" spans="1:10" ht="13.5" customHeight="1">
      <c r="A184">
        <v>41</v>
      </c>
      <c r="B184">
        <f t="shared" si="20"/>
        <v>16.289373696229141</v>
      </c>
      <c r="C184">
        <f t="shared" si="14"/>
        <v>16.078431372549019</v>
      </c>
      <c r="D184">
        <f t="shared" si="21"/>
        <v>-16.078431372549019</v>
      </c>
      <c r="E184">
        <f t="shared" si="16"/>
        <v>1.2949689018980113</v>
      </c>
      <c r="G184" s="63">
        <v>57</v>
      </c>
      <c r="H184" s="63">
        <f t="shared" si="19"/>
        <v>0.95</v>
      </c>
      <c r="I184" s="63">
        <f t="shared" si="22"/>
        <v>0.91577558276131299</v>
      </c>
      <c r="J184" s="63">
        <f t="shared" si="18"/>
        <v>10</v>
      </c>
    </row>
    <row r="185" spans="1:10" ht="13.5" customHeight="1">
      <c r="A185">
        <v>40</v>
      </c>
      <c r="B185">
        <f t="shared" si="20"/>
        <v>16.218604324326577</v>
      </c>
      <c r="C185">
        <f t="shared" si="14"/>
        <v>16</v>
      </c>
      <c r="D185">
        <f t="shared" si="21"/>
        <v>-16</v>
      </c>
      <c r="E185">
        <f t="shared" si="16"/>
        <v>1.347861504942744</v>
      </c>
      <c r="G185" s="63">
        <v>58</v>
      </c>
      <c r="H185" s="63">
        <f t="shared" si="19"/>
        <v>0.96666666666666667</v>
      </c>
      <c r="I185" s="63">
        <f t="shared" si="22"/>
        <v>0.60958899999467064</v>
      </c>
      <c r="J185" s="63">
        <f t="shared" si="18"/>
        <v>10</v>
      </c>
    </row>
    <row r="186" spans="1:10" ht="13.5" customHeight="1">
      <c r="A186">
        <v>39</v>
      </c>
      <c r="B186">
        <f t="shared" si="20"/>
        <v>16.145056113266847</v>
      </c>
      <c r="C186">
        <f t="shared" si="14"/>
        <v>15.918367346938776</v>
      </c>
      <c r="D186">
        <f t="shared" si="21"/>
        <v>-15.918367346938776</v>
      </c>
      <c r="E186">
        <f t="shared" si="16"/>
        <v>1.4040754317465272</v>
      </c>
      <c r="G186" s="63">
        <v>59</v>
      </c>
      <c r="H186" s="63">
        <f t="shared" si="19"/>
        <v>0.98333333333333328</v>
      </c>
      <c r="I186" s="63">
        <f t="shared" si="22"/>
        <v>0.30433141195582891</v>
      </c>
      <c r="J186" s="63">
        <f t="shared" si="18"/>
        <v>10</v>
      </c>
    </row>
    <row r="187" spans="1:10" ht="13.5" customHeight="1">
      <c r="A187">
        <v>38</v>
      </c>
      <c r="B187">
        <f t="shared" si="20"/>
        <v>16.068560331161276</v>
      </c>
      <c r="C187">
        <f t="shared" si="14"/>
        <v>15.833333333333334</v>
      </c>
      <c r="D187">
        <f t="shared" si="21"/>
        <v>-15.833333333333332</v>
      </c>
      <c r="E187">
        <f t="shared" si="16"/>
        <v>1.4638959121420065</v>
      </c>
      <c r="G187" s="63">
        <v>60</v>
      </c>
      <c r="H187" s="63">
        <f t="shared" si="19"/>
        <v>1</v>
      </c>
      <c r="I187" s="63">
        <f t="shared" si="22"/>
        <v>0</v>
      </c>
      <c r="J187" s="63">
        <f t="shared" si="18"/>
        <v>10</v>
      </c>
    </row>
    <row r="188" spans="1:10" ht="13.5" customHeight="1">
      <c r="A188">
        <v>37</v>
      </c>
      <c r="B188">
        <f t="shared" si="20"/>
        <v>15.988934142042053</v>
      </c>
      <c r="C188">
        <f t="shared" si="14"/>
        <v>15.74468085106383</v>
      </c>
      <c r="D188">
        <f t="shared" si="21"/>
        <v>-15.74468085106383</v>
      </c>
      <c r="E188">
        <f t="shared" si="16"/>
        <v>1.5276396087965132</v>
      </c>
    </row>
    <row r="189" spans="1:10" ht="13.5" customHeight="1">
      <c r="A189">
        <v>36</v>
      </c>
      <c r="B189">
        <f t="shared" ref="B189:B220" si="23">A189/$I$72*LN(($E$71+A189)/($I$71+A189))</f>
        <v>15.905979082045413</v>
      </c>
      <c r="C189">
        <f t="shared" ref="C189:C224" si="24">$B$104*A189/($E$89+A189)</f>
        <v>15.652173913043478</v>
      </c>
      <c r="D189">
        <f t="shared" ref="D189:D224" si="25">-$B$104*((A189-$E$100)/($I$91+A189)-$E$101)</f>
        <v>-15.652173913043478</v>
      </c>
      <c r="E189">
        <f t="shared" si="16"/>
        <v>1.5956588883511611</v>
      </c>
    </row>
    <row r="190" spans="1:10" ht="13.5" customHeight="1">
      <c r="A190">
        <v>35</v>
      </c>
      <c r="B190">
        <f t="shared" si="23"/>
        <v>15.819479331007003</v>
      </c>
      <c r="C190">
        <f t="shared" si="24"/>
        <v>15.555555555555555</v>
      </c>
      <c r="D190">
        <f t="shared" si="25"/>
        <v>-15.555555555555555</v>
      </c>
      <c r="E190">
        <f t="shared" ref="E190:E224" si="26">ABS((B190-C190)/B190)*100</f>
        <v>1.6683467889751773</v>
      </c>
    </row>
    <row r="191" spans="1:10" ht="13.5" customHeight="1">
      <c r="A191">
        <v>34</v>
      </c>
      <c r="B191">
        <f t="shared" si="23"/>
        <v>15.729199746235841</v>
      </c>
      <c r="C191">
        <f t="shared" si="24"/>
        <v>15.454545454545455</v>
      </c>
      <c r="D191">
        <f t="shared" si="25"/>
        <v>-15.454545454545453</v>
      </c>
      <c r="E191">
        <f t="shared" si="26"/>
        <v>1.746142817953044</v>
      </c>
    </row>
    <row r="192" spans="1:10" ht="13.5" customHeight="1">
      <c r="A192">
        <v>33</v>
      </c>
      <c r="B192">
        <f t="shared" si="23"/>
        <v>15.634883618826169</v>
      </c>
      <c r="C192">
        <f t="shared" si="24"/>
        <v>15.348837209302326</v>
      </c>
      <c r="D192">
        <f t="shared" si="25"/>
        <v>-15.348837209302326</v>
      </c>
      <c r="E192">
        <f t="shared" si="26"/>
        <v>1.8295397426521989</v>
      </c>
    </row>
    <row r="193" spans="1:5" ht="13.5" customHeight="1">
      <c r="A193">
        <v>32</v>
      </c>
      <c r="B193">
        <f t="shared" si="23"/>
        <v>15.536250105014426</v>
      </c>
      <c r="C193">
        <f t="shared" si="24"/>
        <v>15.238095238095237</v>
      </c>
      <c r="D193">
        <f t="shared" si="25"/>
        <v>-15.238095238095237</v>
      </c>
      <c r="E193">
        <f t="shared" si="26"/>
        <v>1.919091575533775</v>
      </c>
    </row>
    <row r="194" spans="1:5" ht="13.5" customHeight="1">
      <c r="A194">
        <v>31</v>
      </c>
      <c r="B194">
        <f t="shared" si="23"/>
        <v>15.432991275414567</v>
      </c>
      <c r="C194">
        <f t="shared" si="24"/>
        <v>15.121951219512194</v>
      </c>
      <c r="D194">
        <f t="shared" si="25"/>
        <v>-15.121951219512194</v>
      </c>
      <c r="E194">
        <f t="shared" si="26"/>
        <v>2.0154230009698328</v>
      </c>
    </row>
    <row r="195" spans="1:5" ht="13.5" customHeight="1">
      <c r="A195">
        <v>30</v>
      </c>
      <c r="B195">
        <f t="shared" si="23"/>
        <v>15.324768712979722</v>
      </c>
      <c r="C195">
        <f t="shared" si="24"/>
        <v>15</v>
      </c>
      <c r="D195">
        <f t="shared" si="25"/>
        <v>-15</v>
      </c>
      <c r="E195">
        <f t="shared" si="26"/>
        <v>2.1192405514391259</v>
      </c>
    </row>
    <row r="196" spans="1:5" ht="13.5" customHeight="1">
      <c r="A196">
        <v>29</v>
      </c>
      <c r="B196">
        <f t="shared" si="23"/>
        <v>15.211209575600426</v>
      </c>
      <c r="C196">
        <f t="shared" si="24"/>
        <v>14.871794871794872</v>
      </c>
      <c r="D196">
        <f t="shared" si="25"/>
        <v>-14.871794871794872</v>
      </c>
      <c r="E196">
        <f t="shared" si="26"/>
        <v>2.2313459170925687</v>
      </c>
    </row>
    <row r="197" spans="1:5" ht="13.5" customHeight="1">
      <c r="A197">
        <v>28</v>
      </c>
      <c r="B197">
        <f t="shared" si="23"/>
        <v>15.091902020515233</v>
      </c>
      <c r="C197">
        <f t="shared" si="24"/>
        <v>14.736842105263158</v>
      </c>
      <c r="D197">
        <f t="shared" si="25"/>
        <v>-14.736842105263158</v>
      </c>
      <c r="E197">
        <f t="shared" si="26"/>
        <v>2.352651870979706</v>
      </c>
    </row>
    <row r="198" spans="1:5" ht="13.5" customHeight="1">
      <c r="A198">
        <v>27</v>
      </c>
      <c r="B198">
        <f t="shared" si="23"/>
        <v>14.966389864054698</v>
      </c>
      <c r="C198">
        <f t="shared" si="24"/>
        <v>14.594594594594595</v>
      </c>
      <c r="D198">
        <f t="shared" si="25"/>
        <v>-14.594594594594595</v>
      </c>
      <c r="E198">
        <f t="shared" si="26"/>
        <v>2.4842014195624857</v>
      </c>
    </row>
    <row r="199" spans="1:5" ht="13.5" customHeight="1">
      <c r="A199">
        <v>26</v>
      </c>
      <c r="B199">
        <f t="shared" si="23"/>
        <v>14.834166320157937</v>
      </c>
      <c r="C199">
        <f t="shared" si="24"/>
        <v>14.444444444444445</v>
      </c>
      <c r="D199">
        <f t="shared" si="25"/>
        <v>-14.444444444444445</v>
      </c>
      <c r="E199">
        <f t="shared" si="26"/>
        <v>2.6271909543302416</v>
      </c>
    </row>
    <row r="200" spans="1:5" ht="13.5" customHeight="1">
      <c r="A200">
        <v>25</v>
      </c>
      <c r="B200">
        <f t="shared" si="23"/>
        <v>14.694666622552976</v>
      </c>
      <c r="C200">
        <f t="shared" si="24"/>
        <v>14.285714285714286</v>
      </c>
      <c r="D200">
        <f t="shared" si="25"/>
        <v>-14.285714285714286</v>
      </c>
      <c r="E200">
        <f t="shared" si="26"/>
        <v>2.782998398963612</v>
      </c>
    </row>
    <row r="201" spans="1:5" ht="13.5" customHeight="1">
      <c r="A201">
        <v>24</v>
      </c>
      <c r="B201">
        <f t="shared" si="23"/>
        <v>14.547259285687572</v>
      </c>
      <c r="C201">
        <f t="shared" si="24"/>
        <v>14.117647058823529</v>
      </c>
      <c r="D201">
        <f t="shared" si="25"/>
        <v>-14.117647058823531</v>
      </c>
      <c r="E201">
        <f t="shared" si="26"/>
        <v>2.9532176365806575</v>
      </c>
    </row>
    <row r="202" spans="1:5" ht="13.5" customHeight="1">
      <c r="A202">
        <v>23</v>
      </c>
      <c r="B202">
        <f t="shared" si="23"/>
        <v>14.391235694581495</v>
      </c>
      <c r="C202">
        <f t="shared" si="24"/>
        <v>13.939393939393939</v>
      </c>
      <c r="D202">
        <f t="shared" si="25"/>
        <v>-13.939393939393941</v>
      </c>
      <c r="E202">
        <f t="shared" si="26"/>
        <v>3.1397008900193328</v>
      </c>
    </row>
    <row r="203" spans="1:5" ht="13.5" customHeight="1">
      <c r="A203">
        <v>22</v>
      </c>
      <c r="B203">
        <f t="shared" si="23"/>
        <v>14.225797628351154</v>
      </c>
      <c r="C203">
        <f t="shared" si="24"/>
        <v>13.75</v>
      </c>
      <c r="D203">
        <f t="shared" si="25"/>
        <v>-13.75</v>
      </c>
      <c r="E203">
        <f t="shared" si="26"/>
        <v>3.3446112533115073</v>
      </c>
    </row>
    <row r="204" spans="1:5" ht="13.5" customHeight="1">
      <c r="A204">
        <v>21</v>
      </c>
      <c r="B204">
        <f t="shared" si="23"/>
        <v>14.050042208598581</v>
      </c>
      <c r="C204">
        <f t="shared" si="24"/>
        <v>13.548387096774194</v>
      </c>
      <c r="D204">
        <f t="shared" si="25"/>
        <v>-13.548387096774192</v>
      </c>
      <c r="E204">
        <f t="shared" si="26"/>
        <v>3.5704882901873147</v>
      </c>
    </row>
    <row r="205" spans="1:5" ht="13.5" customHeight="1">
      <c r="A205">
        <v>20</v>
      </c>
      <c r="B205">
        <f t="shared" si="23"/>
        <v>13.862943611198906</v>
      </c>
      <c r="C205">
        <f t="shared" si="24"/>
        <v>13.333333333333334</v>
      </c>
      <c r="D205">
        <f t="shared" si="25"/>
        <v>-13.333333333333332</v>
      </c>
      <c r="E205">
        <f t="shared" si="26"/>
        <v>3.8203306074024348</v>
      </c>
    </row>
    <row r="206" spans="1:5" ht="13.5" customHeight="1">
      <c r="A206">
        <v>19</v>
      </c>
      <c r="B206">
        <f t="shared" si="23"/>
        <v>13.663330672300916</v>
      </c>
      <c r="C206">
        <f t="shared" si="24"/>
        <v>13.103448275862069</v>
      </c>
      <c r="D206">
        <f t="shared" si="25"/>
        <v>-13.103448275862068</v>
      </c>
      <c r="E206">
        <f t="shared" si="26"/>
        <v>4.0977006988045144</v>
      </c>
    </row>
    <row r="207" spans="1:5" ht="13.5" customHeight="1">
      <c r="A207">
        <v>18</v>
      </c>
      <c r="B207">
        <f t="shared" si="23"/>
        <v>13.449859232943981</v>
      </c>
      <c r="C207">
        <f t="shared" si="24"/>
        <v>12.857142857142858</v>
      </c>
      <c r="D207">
        <f t="shared" si="25"/>
        <v>-12.857142857142858</v>
      </c>
      <c r="E207">
        <f t="shared" si="26"/>
        <v>4.4068593249610233</v>
      </c>
    </row>
    <row r="208" spans="1:5" ht="13.5" customHeight="1">
      <c r="A208">
        <v>17</v>
      </c>
      <c r="B208">
        <f t="shared" si="23"/>
        <v>13.220977665996141</v>
      </c>
      <c r="C208">
        <f t="shared" si="24"/>
        <v>12.592592592592593</v>
      </c>
      <c r="D208">
        <f t="shared" si="25"/>
        <v>-12.592592592592593</v>
      </c>
      <c r="E208">
        <f t="shared" si="26"/>
        <v>4.7529395274581754</v>
      </c>
    </row>
    <row r="209" spans="1:5" ht="13.5" customHeight="1">
      <c r="A209">
        <v>16</v>
      </c>
      <c r="B209">
        <f t="shared" si="23"/>
        <v>12.97488345946126</v>
      </c>
      <c r="C209">
        <f t="shared" si="24"/>
        <v>12.307692307692308</v>
      </c>
      <c r="D209">
        <f t="shared" si="25"/>
        <v>-12.307692307692308</v>
      </c>
      <c r="E209">
        <f t="shared" si="26"/>
        <v>5.1421745239833925</v>
      </c>
    </row>
    <row r="210" spans="1:5" ht="13.5" customHeight="1">
      <c r="A210">
        <v>15</v>
      </c>
      <c r="B210">
        <f t="shared" si="23"/>
        <v>12.709467905808054</v>
      </c>
      <c r="C210">
        <f t="shared" si="24"/>
        <v>12</v>
      </c>
      <c r="D210">
        <f t="shared" si="25"/>
        <v>-12</v>
      </c>
      <c r="E210">
        <f t="shared" si="26"/>
        <v>5.582199908493708</v>
      </c>
    </row>
    <row r="211" spans="1:5" ht="13.5" customHeight="1">
      <c r="A211">
        <v>14</v>
      </c>
      <c r="B211">
        <f t="shared" si="23"/>
        <v>12.422244730012638</v>
      </c>
      <c r="C211">
        <f t="shared" si="24"/>
        <v>11.666666666666666</v>
      </c>
      <c r="D211">
        <f t="shared" si="25"/>
        <v>-11.666666666666668</v>
      </c>
      <c r="E211">
        <f t="shared" si="26"/>
        <v>6.0824599721535453</v>
      </c>
    </row>
    <row r="212" spans="1:5" ht="13.5" customHeight="1">
      <c r="A212">
        <v>13</v>
      </c>
      <c r="B212">
        <f t="shared" si="23"/>
        <v>12.110256652064265</v>
      </c>
      <c r="C212">
        <f t="shared" si="24"/>
        <v>11.304347826086957</v>
      </c>
      <c r="D212">
        <f t="shared" si="25"/>
        <v>-11.304347826086955</v>
      </c>
      <c r="E212">
        <f t="shared" si="26"/>
        <v>6.6547625631033709</v>
      </c>
    </row>
    <row r="213" spans="1:5" ht="13.5" customHeight="1">
      <c r="A213">
        <v>12</v>
      </c>
      <c r="B213">
        <f t="shared" si="23"/>
        <v>11.769951036140714</v>
      </c>
      <c r="C213">
        <f t="shared" si="24"/>
        <v>10.909090909090908</v>
      </c>
      <c r="D213">
        <f t="shared" si="25"/>
        <v>-10.909090909090908</v>
      </c>
      <c r="E213">
        <f t="shared" si="26"/>
        <v>7.3140501978849013</v>
      </c>
    </row>
    <row r="214" spans="1:5" ht="13.5" customHeight="1">
      <c r="A214">
        <v>11</v>
      </c>
      <c r="B214">
        <f t="shared" si="23"/>
        <v>11.397011248554534</v>
      </c>
      <c r="C214">
        <f t="shared" si="24"/>
        <v>10.476190476190476</v>
      </c>
      <c r="D214">
        <f t="shared" si="25"/>
        <v>-10.476190476190476</v>
      </c>
      <c r="E214">
        <f t="shared" si="26"/>
        <v>8.0794934064914994</v>
      </c>
    </row>
    <row r="215" spans="1:5" ht="13.5" customHeight="1">
      <c r="A215">
        <v>10</v>
      </c>
      <c r="B215">
        <f t="shared" si="23"/>
        <v>10.986122886681098</v>
      </c>
      <c r="C215">
        <f t="shared" si="24"/>
        <v>10</v>
      </c>
      <c r="D215">
        <f t="shared" si="25"/>
        <v>-10</v>
      </c>
      <c r="E215">
        <f t="shared" si="26"/>
        <v>8.9760773373162728</v>
      </c>
    </row>
    <row r="216" spans="1:5" ht="13.5" customHeight="1">
      <c r="A216">
        <v>9</v>
      </c>
      <c r="B216">
        <f t="shared" si="23"/>
        <v>10.530641273852291</v>
      </c>
      <c r="C216">
        <f t="shared" si="24"/>
        <v>9.473684210526315</v>
      </c>
      <c r="D216">
        <f t="shared" si="25"/>
        <v>-9.473684210526315</v>
      </c>
      <c r="E216">
        <f t="shared" si="26"/>
        <v>10.036967700631996</v>
      </c>
    </row>
    <row r="217" spans="1:5" ht="13.5" customHeight="1">
      <c r="A217">
        <v>8</v>
      </c>
      <c r="B217">
        <f t="shared" si="23"/>
        <v>10.022103747962944</v>
      </c>
      <c r="C217">
        <f t="shared" si="24"/>
        <v>8.8888888888888893</v>
      </c>
      <c r="D217">
        <f t="shared" si="25"/>
        <v>-8.8888888888888893</v>
      </c>
      <c r="E217">
        <f t="shared" si="26"/>
        <v>11.307155539119101</v>
      </c>
    </row>
    <row r="218" spans="1:5" ht="13.5" customHeight="1">
      <c r="A218">
        <v>7</v>
      </c>
      <c r="B218">
        <f t="shared" si="23"/>
        <v>9.4494870186431115</v>
      </c>
      <c r="C218">
        <f t="shared" si="24"/>
        <v>8.235294117647058</v>
      </c>
      <c r="D218">
        <f t="shared" si="25"/>
        <v>-8.235294117647058</v>
      </c>
      <c r="E218">
        <f t="shared" si="26"/>
        <v>12.849299635001818</v>
      </c>
    </row>
    <row r="219" spans="1:5" ht="13.5" customHeight="1">
      <c r="A219">
        <v>6</v>
      </c>
      <c r="B219">
        <f t="shared" si="23"/>
        <v>8.7980224127605613</v>
      </c>
      <c r="C219">
        <f t="shared" si="24"/>
        <v>7.5</v>
      </c>
      <c r="D219">
        <f t="shared" si="25"/>
        <v>-7.5</v>
      </c>
      <c r="E219">
        <f t="shared" si="26"/>
        <v>14.753570198661043</v>
      </c>
    </row>
    <row r="220" spans="1:5" ht="13.5" customHeight="1">
      <c r="A220">
        <v>5</v>
      </c>
      <c r="B220">
        <f t="shared" si="23"/>
        <v>8.0471895621705016</v>
      </c>
      <c r="C220">
        <f t="shared" si="24"/>
        <v>6.666666666666667</v>
      </c>
      <c r="D220">
        <f t="shared" si="25"/>
        <v>-6.6666666666666661</v>
      </c>
      <c r="E220">
        <f t="shared" si="26"/>
        <v>17.155342058718421</v>
      </c>
    </row>
    <row r="221" spans="1:5" ht="13.5" customHeight="1">
      <c r="A221">
        <v>4</v>
      </c>
      <c r="B221">
        <f t="shared" ref="B221:B224" si="27">A221/$I$72*LN(($E$71+A221)/($I$71+A221))</f>
        <v>7.1670378769122198</v>
      </c>
      <c r="C221">
        <f t="shared" si="24"/>
        <v>5.7142857142857144</v>
      </c>
      <c r="D221">
        <f t="shared" si="25"/>
        <v>-5.7142857142857135</v>
      </c>
      <c r="E221">
        <f t="shared" si="26"/>
        <v>20.26991049267896</v>
      </c>
    </row>
    <row r="222" spans="1:5" ht="13.5" customHeight="1">
      <c r="A222">
        <v>3</v>
      </c>
      <c r="B222">
        <f t="shared" si="27"/>
        <v>6.1106457817831199</v>
      </c>
      <c r="C222">
        <f t="shared" si="24"/>
        <v>4.615384615384615</v>
      </c>
      <c r="D222">
        <f t="shared" si="25"/>
        <v>-4.6153846153846159</v>
      </c>
      <c r="E222">
        <f t="shared" si="26"/>
        <v>24.469773241580032</v>
      </c>
    </row>
    <row r="223" spans="1:5" ht="13.5" customHeight="1">
      <c r="A223">
        <v>2</v>
      </c>
      <c r="B223">
        <f t="shared" si="27"/>
        <v>4.7957905455967413</v>
      </c>
      <c r="C223">
        <f t="shared" si="24"/>
        <v>3.3333333333333335</v>
      </c>
      <c r="D223">
        <f t="shared" si="25"/>
        <v>-3.333333333333333</v>
      </c>
      <c r="E223">
        <f t="shared" si="26"/>
        <v>30.494601429292278</v>
      </c>
    </row>
    <row r="224" spans="1:5" ht="13.5" customHeight="1">
      <c r="A224">
        <v>1</v>
      </c>
      <c r="B224">
        <f t="shared" si="27"/>
        <v>3.044522437723423</v>
      </c>
      <c r="C224">
        <f t="shared" si="24"/>
        <v>1.8181818181818181</v>
      </c>
      <c r="D224">
        <f t="shared" si="25"/>
        <v>-1.8181818181818183</v>
      </c>
      <c r="E224">
        <f t="shared" si="26"/>
        <v>40.280229317627082</v>
      </c>
    </row>
  </sheetData>
  <mergeCells count="13">
    <mergeCell ref="A71:A72"/>
    <mergeCell ref="B71:B72"/>
    <mergeCell ref="G71:G72"/>
    <mergeCell ref="A73:A83"/>
    <mergeCell ref="B73:B83"/>
    <mergeCell ref="C73:C75"/>
    <mergeCell ref="G73:G83"/>
    <mergeCell ref="C81:C83"/>
    <mergeCell ref="A91:A101"/>
    <mergeCell ref="B91:B101"/>
    <mergeCell ref="C91:C93"/>
    <mergeCell ref="G91:G101"/>
    <mergeCell ref="C99:C101"/>
  </mergeCells>
  <phoneticPr fontId="1"/>
  <pageMargins left="0.7" right="0.7" top="0.75" bottom="0.75" header="0.3" footer="0.3"/>
  <pageSetup paperSize="9" orientation="portrait" horizontalDpi="360" verticalDpi="360" r:id="rId1"/>
  <drawing r:id="rId2"/>
  <legacyDrawing r:id="rId3"/>
  <oleObjects>
    <oleObject progId="Equation.3" shapeId="19461" r:id="rId4"/>
    <oleObject progId="Equation.3" shapeId="19462" r:id="rId5"/>
    <oleObject progId="Equation.3" shapeId="19463" r:id="rId6"/>
    <oleObject progId="Equation.3" shapeId="19464" r:id="rId7"/>
    <oleObject progId="Equation.3" shapeId="19465" r:id="rId8"/>
  </oleObjects>
  <controls>
    <control shapeId="19457" r:id="rId9" name="ScrollBar1"/>
    <control shapeId="19458" r:id="rId10" name="ScrollBar2"/>
  </controls>
</worksheet>
</file>

<file path=xl/worksheets/sheet11.xml><?xml version="1.0" encoding="utf-8"?>
<worksheet xmlns="http://schemas.openxmlformats.org/spreadsheetml/2006/main" xmlns:r="http://schemas.openxmlformats.org/officeDocument/2006/relationships">
  <sheetPr codeName="Sheet7"/>
  <dimension ref="A1:AA48"/>
  <sheetViews>
    <sheetView zoomScale="90" zoomScaleNormal="90" workbookViewId="0"/>
  </sheetViews>
  <sheetFormatPr defaultRowHeight="13.5"/>
  <sheetData>
    <row r="1" spans="1:27" ht="19.5" customHeight="1">
      <c r="A1" s="10" t="s">
        <v>351</v>
      </c>
      <c r="L1" t="s">
        <v>50</v>
      </c>
      <c r="S1" s="110"/>
      <c r="T1" s="119"/>
      <c r="U1" s="119"/>
      <c r="AA1" s="130"/>
    </row>
    <row r="2" spans="1:27" ht="13.5" customHeight="1">
      <c r="L2" s="97"/>
      <c r="N2" s="97"/>
      <c r="S2" s="97"/>
      <c r="T2" s="97"/>
    </row>
    <row r="3" spans="1:27" ht="13.5" customHeight="1">
      <c r="N3" s="97"/>
      <c r="S3" s="97"/>
      <c r="T3" s="97"/>
    </row>
    <row r="4" spans="1:27" ht="13.5" customHeight="1">
      <c r="N4" s="97"/>
      <c r="S4" s="97"/>
      <c r="T4" s="97"/>
    </row>
    <row r="5" spans="1:27" ht="13.5" customHeight="1">
      <c r="N5" s="97"/>
      <c r="S5" s="97"/>
      <c r="T5" s="97"/>
    </row>
    <row r="6" spans="1:27" ht="13.5" customHeight="1">
      <c r="N6" s="97"/>
      <c r="S6" s="97"/>
      <c r="T6" s="97"/>
    </row>
    <row r="7" spans="1:27" ht="13.5" customHeight="1">
      <c r="N7" s="97"/>
      <c r="S7" s="97"/>
      <c r="T7" s="97"/>
    </row>
    <row r="8" spans="1:27" ht="13.5" customHeight="1">
      <c r="N8" s="97"/>
      <c r="S8" s="97"/>
      <c r="T8" s="97"/>
    </row>
    <row r="21" spans="1:1">
      <c r="A21" t="s">
        <v>352</v>
      </c>
    </row>
    <row r="22" spans="1:1">
      <c r="A22" t="s">
        <v>353</v>
      </c>
    </row>
    <row r="27" spans="1:1" ht="18.75">
      <c r="A27" s="10" t="s">
        <v>335</v>
      </c>
    </row>
    <row r="28" spans="1:1">
      <c r="A28" s="137" t="s">
        <v>360</v>
      </c>
    </row>
    <row r="29" spans="1:1">
      <c r="A29" t="s">
        <v>361</v>
      </c>
    </row>
    <row r="34" spans="1:7">
      <c r="C34" s="13"/>
    </row>
    <row r="37" spans="1:7" ht="16.5">
      <c r="A37" t="s">
        <v>359</v>
      </c>
      <c r="B37" s="149" t="s">
        <v>354</v>
      </c>
      <c r="C37" s="149" t="s">
        <v>355</v>
      </c>
      <c r="D37" s="150"/>
      <c r="E37" s="36" t="s">
        <v>356</v>
      </c>
      <c r="F37" s="119" t="s">
        <v>357</v>
      </c>
      <c r="G37" s="36" t="s">
        <v>358</v>
      </c>
    </row>
    <row r="38" spans="1:7">
      <c r="A38">
        <v>1</v>
      </c>
      <c r="B38">
        <v>1</v>
      </c>
      <c r="C38">
        <v>100</v>
      </c>
      <c r="D38">
        <v>26</v>
      </c>
      <c r="E38">
        <f>B38/C38</f>
        <v>0.01</v>
      </c>
      <c r="F38">
        <f>SUM($E$38:E38)</f>
        <v>0.01</v>
      </c>
      <c r="G38">
        <f t="shared" ref="G38:G48" si="0">A38/F38</f>
        <v>100</v>
      </c>
    </row>
    <row r="39" spans="1:7">
      <c r="A39">
        <v>10</v>
      </c>
      <c r="B39">
        <f>A39-A38</f>
        <v>9</v>
      </c>
      <c r="C39">
        <v>99</v>
      </c>
      <c r="D39">
        <v>26</v>
      </c>
      <c r="E39">
        <f t="shared" ref="E39:E48" si="1">B39/C39</f>
        <v>9.0909090909090912E-2</v>
      </c>
      <c r="F39">
        <f>SUM($E$38:E39)</f>
        <v>0.10090909090909091</v>
      </c>
      <c r="G39">
        <f t="shared" si="0"/>
        <v>99.099099099099107</v>
      </c>
    </row>
    <row r="40" spans="1:7">
      <c r="A40">
        <v>20</v>
      </c>
      <c r="B40">
        <f t="shared" ref="B40:B48" si="2">A40-A39</f>
        <v>10</v>
      </c>
      <c r="C40">
        <v>90</v>
      </c>
      <c r="D40">
        <v>26</v>
      </c>
      <c r="E40">
        <f t="shared" si="1"/>
        <v>0.1111111111111111</v>
      </c>
      <c r="F40">
        <f>SUM($E$38:E40)</f>
        <v>0.212020202020202</v>
      </c>
      <c r="G40">
        <f t="shared" si="0"/>
        <v>94.330633635064331</v>
      </c>
    </row>
    <row r="41" spans="1:7">
      <c r="A41">
        <v>30</v>
      </c>
      <c r="B41">
        <f t="shared" si="2"/>
        <v>10</v>
      </c>
      <c r="C41">
        <v>80</v>
      </c>
      <c r="D41">
        <v>26</v>
      </c>
      <c r="E41">
        <f t="shared" si="1"/>
        <v>0.125</v>
      </c>
      <c r="F41">
        <f>SUM($E$38:E41)</f>
        <v>0.337020202020202</v>
      </c>
      <c r="G41">
        <f t="shared" si="0"/>
        <v>89.0154353364304</v>
      </c>
    </row>
    <row r="42" spans="1:7">
      <c r="A42">
        <v>40</v>
      </c>
      <c r="B42">
        <f t="shared" si="2"/>
        <v>10</v>
      </c>
      <c r="C42">
        <v>70</v>
      </c>
      <c r="D42">
        <v>26</v>
      </c>
      <c r="E42">
        <f t="shared" si="1"/>
        <v>0.14285714285714285</v>
      </c>
      <c r="F42">
        <f>SUM($E$38:E42)</f>
        <v>0.47987734487734485</v>
      </c>
      <c r="G42">
        <f t="shared" si="0"/>
        <v>83.354633068214284</v>
      </c>
    </row>
    <row r="43" spans="1:7">
      <c r="A43">
        <v>50</v>
      </c>
      <c r="B43">
        <f t="shared" si="2"/>
        <v>10</v>
      </c>
      <c r="C43">
        <v>60</v>
      </c>
      <c r="D43">
        <v>26</v>
      </c>
      <c r="E43">
        <f t="shared" si="1"/>
        <v>0.16666666666666666</v>
      </c>
      <c r="F43">
        <f>SUM($E$38:E43)</f>
        <v>0.64654401154401153</v>
      </c>
      <c r="G43">
        <f t="shared" si="0"/>
        <v>77.334255839126897</v>
      </c>
    </row>
    <row r="44" spans="1:7">
      <c r="A44">
        <v>60</v>
      </c>
      <c r="B44">
        <f t="shared" si="2"/>
        <v>10</v>
      </c>
      <c r="C44">
        <v>50</v>
      </c>
      <c r="D44">
        <v>26</v>
      </c>
      <c r="E44">
        <f t="shared" si="1"/>
        <v>0.2</v>
      </c>
      <c r="F44">
        <f>SUM($E$38:E44)</f>
        <v>0.84654401154401149</v>
      </c>
      <c r="G44">
        <f t="shared" si="0"/>
        <v>70.876409474052039</v>
      </c>
    </row>
    <row r="45" spans="1:7">
      <c r="A45">
        <v>70</v>
      </c>
      <c r="B45">
        <f t="shared" si="2"/>
        <v>10</v>
      </c>
      <c r="C45">
        <v>40</v>
      </c>
      <c r="D45">
        <v>26</v>
      </c>
      <c r="E45">
        <f t="shared" si="1"/>
        <v>0.25</v>
      </c>
      <c r="F45">
        <f>SUM($E$38:E45)</f>
        <v>1.0965440115440115</v>
      </c>
      <c r="G45">
        <f t="shared" si="0"/>
        <v>63.836926984294095</v>
      </c>
    </row>
    <row r="46" spans="1:7">
      <c r="A46">
        <v>80</v>
      </c>
      <c r="B46">
        <f t="shared" si="2"/>
        <v>10</v>
      </c>
      <c r="C46">
        <v>30</v>
      </c>
      <c r="D46">
        <v>26</v>
      </c>
      <c r="E46">
        <f t="shared" si="1"/>
        <v>0.33333333333333331</v>
      </c>
      <c r="F46">
        <f>SUM($E$38:E46)</f>
        <v>1.4298773448773447</v>
      </c>
      <c r="G46">
        <f t="shared" si="0"/>
        <v>55.9488548347218</v>
      </c>
    </row>
    <row r="47" spans="1:7">
      <c r="A47">
        <v>90</v>
      </c>
      <c r="B47">
        <f t="shared" si="2"/>
        <v>10</v>
      </c>
      <c r="C47">
        <v>20</v>
      </c>
      <c r="D47">
        <v>26</v>
      </c>
      <c r="E47">
        <f t="shared" si="1"/>
        <v>0.5</v>
      </c>
      <c r="F47">
        <f>SUM($E$38:E47)</f>
        <v>1.9298773448773447</v>
      </c>
      <c r="G47">
        <f t="shared" si="0"/>
        <v>46.635088099715496</v>
      </c>
    </row>
    <row r="48" spans="1:7">
      <c r="A48">
        <v>100</v>
      </c>
      <c r="B48">
        <f t="shared" si="2"/>
        <v>10</v>
      </c>
      <c r="C48">
        <v>10</v>
      </c>
      <c r="D48">
        <v>26</v>
      </c>
      <c r="E48">
        <f t="shared" si="1"/>
        <v>1</v>
      </c>
      <c r="F48">
        <f>SUM($E$38:E48)</f>
        <v>2.9298773448773447</v>
      </c>
      <c r="G48">
        <f t="shared" si="0"/>
        <v>34.13112162351846</v>
      </c>
    </row>
  </sheetData>
  <phoneticPr fontId="1"/>
  <pageMargins left="0.7" right="0.7" top="0.75" bottom="0.75" header="0.3" footer="0.3"/>
  <pageSetup paperSize="9" orientation="portrait" horizontalDpi="300" verticalDpi="300" r:id="rId1"/>
  <drawing r:id="rId2"/>
  <legacyDrawing r:id="rId3"/>
  <oleObjects>
    <oleObject progId="Equation.3" shapeId="20481" r:id="rId4"/>
    <oleObject progId="Equation.3" shapeId="20503" r:id="rId5"/>
  </oleObjects>
</worksheet>
</file>

<file path=xl/worksheets/sheet2.xml><?xml version="1.0" encoding="utf-8"?>
<worksheet xmlns="http://schemas.openxmlformats.org/spreadsheetml/2006/main" xmlns:r="http://schemas.openxmlformats.org/officeDocument/2006/relationships">
  <sheetPr codeName="Sheet2"/>
  <dimension ref="A1:L46"/>
  <sheetViews>
    <sheetView zoomScale="90" zoomScaleNormal="90" workbookViewId="0"/>
  </sheetViews>
  <sheetFormatPr defaultRowHeight="13.5"/>
  <sheetData>
    <row r="1" spans="1:12" ht="18.75">
      <c r="A1" s="10" t="s">
        <v>5</v>
      </c>
      <c r="L1" t="s">
        <v>51</v>
      </c>
    </row>
    <row r="3" spans="1:12">
      <c r="A3" s="12"/>
    </row>
    <row r="4" spans="1:12">
      <c r="A4" s="12"/>
    </row>
    <row r="10" spans="1:12">
      <c r="A10" s="12" t="s">
        <v>25</v>
      </c>
      <c r="G10" s="12" t="s">
        <v>26</v>
      </c>
    </row>
    <row r="11" spans="1:12" ht="14.25" thickBot="1"/>
    <row r="12" spans="1:12" ht="15.75" customHeight="1">
      <c r="B12" s="3" t="s">
        <v>2</v>
      </c>
      <c r="C12" t="s">
        <v>11</v>
      </c>
      <c r="E12" s="2">
        <v>8</v>
      </c>
      <c r="F12" t="s">
        <v>3</v>
      </c>
    </row>
    <row r="13" spans="1:12" ht="15.75" customHeight="1" thickBot="1">
      <c r="B13" s="4"/>
      <c r="E13" s="2"/>
    </row>
    <row r="14" spans="1:12" ht="15.75" customHeight="1">
      <c r="B14" s="5" t="s">
        <v>1</v>
      </c>
      <c r="C14" t="s">
        <v>7</v>
      </c>
      <c r="E14" s="2">
        <v>10</v>
      </c>
      <c r="F14" t="s">
        <v>3</v>
      </c>
    </row>
    <row r="15" spans="1:12" ht="15.75" customHeight="1" thickBot="1">
      <c r="B15" s="6"/>
      <c r="C15" s="1" t="s">
        <v>8</v>
      </c>
      <c r="D15" s="1"/>
      <c r="E15" s="2">
        <v>5</v>
      </c>
      <c r="F15" s="1" t="s">
        <v>6</v>
      </c>
    </row>
    <row r="16" spans="1:12" ht="15.75" customHeight="1">
      <c r="B16" s="7" t="s">
        <v>0</v>
      </c>
      <c r="C16" s="1" t="s">
        <v>9</v>
      </c>
      <c r="D16" s="1"/>
      <c r="E16" s="2">
        <v>10</v>
      </c>
      <c r="F16" s="1" t="s">
        <v>3</v>
      </c>
    </row>
    <row r="17" spans="1:9" ht="15.75" customHeight="1" thickBot="1">
      <c r="B17" s="8"/>
      <c r="C17" s="1" t="s">
        <v>10</v>
      </c>
      <c r="D17" s="1"/>
      <c r="E17" s="2">
        <v>10</v>
      </c>
      <c r="F17" s="1" t="s">
        <v>6</v>
      </c>
    </row>
    <row r="20" spans="1:9">
      <c r="I20" t="s">
        <v>32</v>
      </c>
    </row>
    <row r="24" spans="1:9" ht="18.75">
      <c r="A24" s="10" t="s">
        <v>34</v>
      </c>
    </row>
    <row r="25" spans="1:9" ht="16.5">
      <c r="A25" t="s">
        <v>29</v>
      </c>
    </row>
    <row r="27" spans="1:9" ht="15.75">
      <c r="A27" s="49"/>
      <c r="B27" s="49"/>
      <c r="C27" s="50" t="s">
        <v>134</v>
      </c>
      <c r="D27" s="62">
        <f>(E14+E16)/((E14/E15)+(E16/E17))</f>
        <v>6.666666666666667</v>
      </c>
      <c r="E27" s="63" t="s">
        <v>6</v>
      </c>
    </row>
    <row r="28" spans="1:9">
      <c r="A28" s="49"/>
      <c r="B28" s="49"/>
      <c r="C28" s="50"/>
      <c r="D28" s="49"/>
      <c r="E28" s="64"/>
    </row>
    <row r="29" spans="1:9" ht="14.25" thickBot="1">
      <c r="A29" s="52"/>
      <c r="B29" s="52"/>
      <c r="C29" s="52"/>
      <c r="D29" s="52"/>
      <c r="E29" s="65"/>
    </row>
    <row r="30" spans="1:9">
      <c r="A30" s="49"/>
      <c r="B30" s="49"/>
      <c r="C30" s="49"/>
      <c r="D30" s="49"/>
      <c r="E30" s="64"/>
    </row>
    <row r="31" spans="1:9" ht="16.5">
      <c r="A31" t="s">
        <v>30</v>
      </c>
    </row>
    <row r="33" spans="1:8" ht="15.75">
      <c r="C33" s="48" t="s">
        <v>134</v>
      </c>
      <c r="D33" s="41">
        <f>-D27*((E12+E14+E16)/(E14+E16))</f>
        <v>-9.3333333333333339</v>
      </c>
      <c r="E33" s="13" t="s">
        <v>6</v>
      </c>
    </row>
    <row r="34" spans="1:8" ht="14.25" thickBot="1">
      <c r="A34" s="52"/>
      <c r="B34" s="52"/>
      <c r="C34" s="52"/>
      <c r="D34" s="52"/>
      <c r="E34" s="52"/>
    </row>
    <row r="36" spans="1:8" ht="18.75">
      <c r="A36" s="10" t="s">
        <v>27</v>
      </c>
    </row>
    <row r="37" spans="1:8" ht="16.5">
      <c r="A37" t="s">
        <v>31</v>
      </c>
      <c r="H37" t="s">
        <v>18</v>
      </c>
    </row>
    <row r="38" spans="1:8">
      <c r="H38" t="s">
        <v>15</v>
      </c>
    </row>
    <row r="39" spans="1:8">
      <c r="E39" s="9" t="s">
        <v>4</v>
      </c>
      <c r="F39" s="9"/>
      <c r="H39" t="s">
        <v>16</v>
      </c>
    </row>
    <row r="40" spans="1:8">
      <c r="D40" s="20" t="s">
        <v>12</v>
      </c>
      <c r="E40" s="20" t="s">
        <v>13</v>
      </c>
      <c r="F40" s="20" t="s">
        <v>14</v>
      </c>
      <c r="H40" t="s">
        <v>17</v>
      </c>
    </row>
    <row r="41" spans="1:8">
      <c r="D41" s="21">
        <f>E16+E14</f>
        <v>20</v>
      </c>
      <c r="E41" s="21">
        <f>E12</f>
        <v>8</v>
      </c>
      <c r="F41" s="21">
        <f>D41+E41</f>
        <v>28</v>
      </c>
      <c r="H41" t="s">
        <v>22</v>
      </c>
    </row>
    <row r="42" spans="1:8">
      <c r="B42" t="s">
        <v>19</v>
      </c>
      <c r="D42" s="64">
        <f>E16</f>
        <v>10</v>
      </c>
      <c r="E42" s="47">
        <f>((D33*E16)-(-E17*E16))/(-E17)</f>
        <v>-0.66666666666666574</v>
      </c>
      <c r="F42" s="64">
        <f>D42+E42</f>
        <v>9.3333333333333339</v>
      </c>
      <c r="H42" t="s">
        <v>23</v>
      </c>
    </row>
    <row r="43" spans="1:8">
      <c r="D43" s="11">
        <v>0</v>
      </c>
      <c r="E43" s="11">
        <v>0</v>
      </c>
      <c r="F43" s="11">
        <v>0</v>
      </c>
      <c r="H43" s="13"/>
    </row>
    <row r="45" spans="1:8" ht="18.75">
      <c r="A45" s="10" t="s">
        <v>28</v>
      </c>
      <c r="G45" s="14"/>
      <c r="H45" t="s">
        <v>20</v>
      </c>
    </row>
    <row r="46" spans="1:8">
      <c r="H46" t="s">
        <v>21</v>
      </c>
    </row>
  </sheetData>
  <phoneticPr fontId="1"/>
  <pageMargins left="0.7" right="0.7" top="0.75" bottom="0.75" header="0.3" footer="0.3"/>
  <pageSetup paperSize="9" orientation="portrait" verticalDpi="0" r:id="rId1"/>
  <drawing r:id="rId2"/>
  <legacyDrawing r:id="rId3"/>
  <oleObjects>
    <oleObject progId="Equation.3" shapeId="6153" r:id="rId4"/>
    <oleObject progId="Equation.3" shapeId="6154" r:id="rId5"/>
  </oleObjects>
  <controls>
    <control shapeId="6158" r:id="rId6" name="ScrollBar8"/>
    <control shapeId="6156" r:id="rId7" name="ScrollBar6"/>
    <control shapeId="6152" r:id="rId8" name="ScrollBar5"/>
    <control shapeId="6151" r:id="rId9" name="ScrollBar4"/>
    <control shapeId="6148" r:id="rId10" name="ScrollBar1"/>
    <control shapeId="6159" r:id="rId11" name="OptionButton1"/>
  </controls>
</worksheet>
</file>

<file path=xl/worksheets/sheet3.xml><?xml version="1.0" encoding="utf-8"?>
<worksheet xmlns="http://schemas.openxmlformats.org/spreadsheetml/2006/main" xmlns:r="http://schemas.openxmlformats.org/officeDocument/2006/relationships">
  <sheetPr codeName="Sheet12"/>
  <dimension ref="A1:L29"/>
  <sheetViews>
    <sheetView zoomScale="90" zoomScaleNormal="90" workbookViewId="0"/>
  </sheetViews>
  <sheetFormatPr defaultRowHeight="13.5"/>
  <sheetData>
    <row r="1" spans="1:12" ht="18.75">
      <c r="A1" s="10" t="s">
        <v>52</v>
      </c>
      <c r="L1" t="s">
        <v>53</v>
      </c>
    </row>
    <row r="3" spans="1:12">
      <c r="B3" s="12"/>
    </row>
    <row r="4" spans="1:12">
      <c r="B4" s="12"/>
    </row>
    <row r="8" spans="1:12">
      <c r="B8" s="12" t="s">
        <v>59</v>
      </c>
    </row>
    <row r="9" spans="1:12">
      <c r="L9" t="s">
        <v>32</v>
      </c>
    </row>
    <row r="10" spans="1:12">
      <c r="F10" s="2" t="s">
        <v>62</v>
      </c>
    </row>
    <row r="11" spans="1:12" ht="16.5">
      <c r="A11" s="33" t="s">
        <v>73</v>
      </c>
      <c r="B11" s="2">
        <f>F13+F18</f>
        <v>100</v>
      </c>
      <c r="C11" t="s">
        <v>3</v>
      </c>
      <c r="D11" s="164" t="s">
        <v>55</v>
      </c>
      <c r="E11" s="170" t="s">
        <v>54</v>
      </c>
      <c r="F11" s="2">
        <v>20</v>
      </c>
      <c r="H11" s="26" t="s">
        <v>64</v>
      </c>
      <c r="I11" s="30">
        <f>F24*(F13+F18)/(B13-B24)*-1</f>
        <v>16.666666666666668</v>
      </c>
      <c r="J11" s="26" t="s">
        <v>56</v>
      </c>
    </row>
    <row r="12" spans="1:12" ht="16.5">
      <c r="A12" s="33" t="s">
        <v>74</v>
      </c>
      <c r="B12" s="2">
        <f>F11</f>
        <v>20</v>
      </c>
      <c r="C12" t="s">
        <v>3</v>
      </c>
      <c r="D12" s="164"/>
      <c r="E12" s="170"/>
      <c r="F12" s="2"/>
      <c r="H12" s="36" t="s">
        <v>77</v>
      </c>
      <c r="I12" s="29">
        <f>I20/I15</f>
        <v>0.2</v>
      </c>
    </row>
    <row r="13" spans="1:12" ht="13.5" customHeight="1">
      <c r="A13" s="33" t="s">
        <v>75</v>
      </c>
      <c r="B13" s="2">
        <f>B11+B12</f>
        <v>120</v>
      </c>
      <c r="C13" t="s">
        <v>3</v>
      </c>
      <c r="D13" s="168" t="s">
        <v>0</v>
      </c>
      <c r="E13" s="166" t="s">
        <v>60</v>
      </c>
      <c r="F13" s="165">
        <v>50</v>
      </c>
      <c r="H13" s="36" t="s">
        <v>78</v>
      </c>
      <c r="I13" s="29">
        <f>F18/F13</f>
        <v>1</v>
      </c>
    </row>
    <row r="14" spans="1:12">
      <c r="D14" s="168"/>
      <c r="E14" s="167"/>
      <c r="F14" s="165"/>
      <c r="I14" s="2"/>
    </row>
    <row r="15" spans="1:12" ht="16.5">
      <c r="D15" s="168"/>
      <c r="E15" s="167"/>
      <c r="F15" s="165"/>
      <c r="H15" s="31" t="s">
        <v>65</v>
      </c>
      <c r="I15" s="37">
        <f>F24*(F13)/(B13-B19)*-1</f>
        <v>50</v>
      </c>
      <c r="J15" s="26" t="s">
        <v>56</v>
      </c>
    </row>
    <row r="16" spans="1:12" ht="16.5">
      <c r="A16" s="33" t="s">
        <v>70</v>
      </c>
      <c r="B16" s="2">
        <f>F18</f>
        <v>50</v>
      </c>
      <c r="C16" t="s">
        <v>3</v>
      </c>
      <c r="D16" s="168"/>
      <c r="E16" s="167"/>
      <c r="F16" s="165"/>
      <c r="H16" s="1"/>
      <c r="I16" s="38"/>
    </row>
    <row r="17" spans="1:10" ht="16.5">
      <c r="A17" s="33" t="s">
        <v>71</v>
      </c>
      <c r="B17" s="28">
        <v>50</v>
      </c>
      <c r="C17" t="s">
        <v>3</v>
      </c>
      <c r="D17" s="168"/>
      <c r="E17" s="167"/>
      <c r="F17" s="165"/>
      <c r="H17" s="1"/>
      <c r="I17" s="38"/>
    </row>
    <row r="18" spans="1:10" ht="13.5" customHeight="1">
      <c r="D18" s="169" t="s">
        <v>57</v>
      </c>
      <c r="E18" s="166" t="s">
        <v>61</v>
      </c>
      <c r="F18" s="165">
        <v>50</v>
      </c>
      <c r="H18" s="1"/>
      <c r="I18" s="38"/>
    </row>
    <row r="19" spans="1:10" ht="16.5">
      <c r="A19" s="33" t="s">
        <v>72</v>
      </c>
      <c r="B19" s="2">
        <f>B16+B17</f>
        <v>100</v>
      </c>
      <c r="C19" t="s">
        <v>3</v>
      </c>
      <c r="D19" s="169"/>
      <c r="E19" s="167"/>
      <c r="F19" s="165"/>
      <c r="H19" s="1"/>
      <c r="I19" s="38"/>
    </row>
    <row r="20" spans="1:10" ht="16.5">
      <c r="D20" s="169"/>
      <c r="E20" s="167"/>
      <c r="F20" s="165"/>
      <c r="H20" s="31" t="s">
        <v>66</v>
      </c>
      <c r="I20" s="37">
        <f>F24*(F18)/(B19-B24)*-1</f>
        <v>10</v>
      </c>
      <c r="J20" s="26" t="s">
        <v>56</v>
      </c>
    </row>
    <row r="21" spans="1:10">
      <c r="D21" s="169"/>
      <c r="E21" s="167"/>
      <c r="F21" s="165"/>
      <c r="H21" s="1"/>
    </row>
    <row r="22" spans="1:10" ht="16.5">
      <c r="A22" s="33" t="s">
        <v>67</v>
      </c>
      <c r="B22" s="2">
        <v>0</v>
      </c>
      <c r="C22" t="s">
        <v>3</v>
      </c>
      <c r="D22" s="169"/>
      <c r="E22" s="167"/>
      <c r="F22" s="165"/>
      <c r="H22" s="1"/>
    </row>
    <row r="23" spans="1:10" ht="16.5">
      <c r="A23" s="33" t="s">
        <v>68</v>
      </c>
      <c r="B23" s="2">
        <v>0</v>
      </c>
      <c r="C23" t="s">
        <v>3</v>
      </c>
      <c r="H23" s="39" t="s">
        <v>79</v>
      </c>
      <c r="I23" s="40" t="s">
        <v>81</v>
      </c>
      <c r="J23" s="40" t="s">
        <v>80</v>
      </c>
    </row>
    <row r="24" spans="1:10" ht="16.5">
      <c r="A24" s="33" t="s">
        <v>69</v>
      </c>
      <c r="B24" s="2">
        <f>B22+B23</f>
        <v>0</v>
      </c>
      <c r="C24" t="s">
        <v>3</v>
      </c>
      <c r="E24" s="27" t="s">
        <v>63</v>
      </c>
      <c r="F24" s="28">
        <v>-20</v>
      </c>
      <c r="G24" s="26" t="s">
        <v>3</v>
      </c>
      <c r="H24" s="40">
        <f>B11</f>
        <v>100</v>
      </c>
      <c r="I24" s="40">
        <f>B12</f>
        <v>20</v>
      </c>
      <c r="J24" s="40">
        <f>H24+I24</f>
        <v>120</v>
      </c>
    </row>
    <row r="25" spans="1:10">
      <c r="H25" s="40">
        <f>B16</f>
        <v>50</v>
      </c>
      <c r="I25" s="40">
        <f>B17</f>
        <v>50</v>
      </c>
      <c r="J25" s="40">
        <f t="shared" ref="J25:J26" si="0">H25+I25</f>
        <v>100</v>
      </c>
    </row>
    <row r="26" spans="1:10">
      <c r="H26" s="40">
        <f>B22</f>
        <v>0</v>
      </c>
      <c r="I26" s="40">
        <f>B23</f>
        <v>0</v>
      </c>
      <c r="J26" s="40">
        <f t="shared" si="0"/>
        <v>0</v>
      </c>
    </row>
    <row r="28" spans="1:10">
      <c r="B28" s="35" t="s">
        <v>58</v>
      </c>
      <c r="C28" s="35"/>
      <c r="D28" s="35"/>
      <c r="E28" s="35"/>
      <c r="F28" s="35"/>
      <c r="G28" s="35"/>
      <c r="H28" s="35"/>
    </row>
    <row r="29" spans="1:10">
      <c r="B29" t="s">
        <v>76</v>
      </c>
    </row>
  </sheetData>
  <mergeCells count="8">
    <mergeCell ref="D11:D12"/>
    <mergeCell ref="F18:F22"/>
    <mergeCell ref="E18:E22"/>
    <mergeCell ref="D13:D17"/>
    <mergeCell ref="D18:D22"/>
    <mergeCell ref="E11:E12"/>
    <mergeCell ref="F13:F17"/>
    <mergeCell ref="E13:E17"/>
  </mergeCells>
  <phoneticPr fontId="1"/>
  <pageMargins left="0.7" right="0.7" top="0.75" bottom="0.75" header="0.3" footer="0.3"/>
  <drawing r:id="rId1"/>
  <legacyDrawing r:id="rId2"/>
  <oleObjects>
    <oleObject progId="Equation.3" shapeId="11265" r:id="rId3"/>
  </oleObjects>
</worksheet>
</file>

<file path=xl/worksheets/sheet4.xml><?xml version="1.0" encoding="utf-8"?>
<worksheet xmlns="http://schemas.openxmlformats.org/spreadsheetml/2006/main" xmlns:r="http://schemas.openxmlformats.org/officeDocument/2006/relationships">
  <sheetPr codeName="Sheet3"/>
  <dimension ref="A1:S328"/>
  <sheetViews>
    <sheetView zoomScale="90" zoomScaleNormal="90" workbookViewId="0"/>
  </sheetViews>
  <sheetFormatPr defaultRowHeight="13.5"/>
  <cols>
    <col min="2" max="2" width="12.75" bestFit="1" customWidth="1"/>
    <col min="6" max="6" width="9" customWidth="1"/>
    <col min="12" max="12" width="12.75" bestFit="1" customWidth="1"/>
  </cols>
  <sheetData>
    <row r="1" spans="1:16" ht="18.75">
      <c r="A1" s="10" t="s">
        <v>82</v>
      </c>
      <c r="L1" t="s">
        <v>83</v>
      </c>
    </row>
    <row r="3" spans="1:16">
      <c r="B3" s="12"/>
    </row>
    <row r="4" spans="1:16">
      <c r="B4" s="12"/>
    </row>
    <row r="9" spans="1:16">
      <c r="A9" s="12" t="s">
        <v>59</v>
      </c>
      <c r="K9" s="32"/>
      <c r="L9" s="34"/>
      <c r="N9" s="32"/>
      <c r="O9" s="34"/>
    </row>
    <row r="10" spans="1:16" ht="18.75">
      <c r="G10" s="42" t="s">
        <v>34</v>
      </c>
      <c r="H10" t="s">
        <v>84</v>
      </c>
    </row>
    <row r="11" spans="1:16">
      <c r="H11" t="s">
        <v>90</v>
      </c>
      <c r="N11" s="34"/>
      <c r="O11" s="32"/>
      <c r="P11" s="34"/>
    </row>
    <row r="12" spans="1:16">
      <c r="H12" s="49"/>
      <c r="I12" s="49"/>
      <c r="J12" s="49"/>
      <c r="K12" s="49"/>
    </row>
    <row r="13" spans="1:16">
      <c r="H13" s="49"/>
      <c r="I13" s="50" t="s">
        <v>91</v>
      </c>
      <c r="J13" s="49">
        <f>-A28/E28</f>
        <v>-10</v>
      </c>
      <c r="K13" s="51" t="s">
        <v>121</v>
      </c>
    </row>
    <row r="14" spans="1:16" ht="14.25" thickBot="1">
      <c r="A14" s="34" t="s">
        <v>86</v>
      </c>
      <c r="H14" s="52"/>
      <c r="I14" s="52"/>
      <c r="J14" s="52"/>
      <c r="K14" s="52" t="s">
        <v>122</v>
      </c>
      <c r="L14" s="52"/>
    </row>
    <row r="15" spans="1:16">
      <c r="A15" s="2">
        <f>A16</f>
        <v>10</v>
      </c>
      <c r="E15" s="32"/>
      <c r="F15" s="34"/>
    </row>
    <row r="16" spans="1:16" ht="18.75">
      <c r="A16">
        <v>10</v>
      </c>
      <c r="G16" s="42" t="s">
        <v>85</v>
      </c>
      <c r="H16" t="s">
        <v>92</v>
      </c>
    </row>
    <row r="17" spans="1:12">
      <c r="H17" t="s">
        <v>93</v>
      </c>
    </row>
    <row r="18" spans="1:12" ht="16.5">
      <c r="E18" s="33" t="s">
        <v>70</v>
      </c>
      <c r="F18" s="2">
        <f>A21</f>
        <v>50</v>
      </c>
      <c r="G18" t="s">
        <v>3</v>
      </c>
      <c r="H18" t="s">
        <v>120</v>
      </c>
    </row>
    <row r="19" spans="1:12" ht="16.5">
      <c r="E19" s="33" t="s">
        <v>71</v>
      </c>
      <c r="F19" s="41">
        <f>A15</f>
        <v>10</v>
      </c>
      <c r="G19" t="s">
        <v>3</v>
      </c>
      <c r="H19" t="s">
        <v>94</v>
      </c>
    </row>
    <row r="20" spans="1:12" ht="16.5">
      <c r="A20" s="34" t="s">
        <v>87</v>
      </c>
      <c r="E20" s="33" t="s">
        <v>72</v>
      </c>
      <c r="F20" s="2">
        <f>F18+F19</f>
        <v>60</v>
      </c>
      <c r="G20" t="s">
        <v>3</v>
      </c>
      <c r="H20" s="49"/>
      <c r="I20" s="49"/>
      <c r="J20" s="53"/>
      <c r="K20" s="51"/>
    </row>
    <row r="21" spans="1:12">
      <c r="A21" s="2">
        <f>A22</f>
        <v>50</v>
      </c>
      <c r="H21" s="49"/>
      <c r="I21" s="50" t="s">
        <v>91</v>
      </c>
      <c r="J21" s="53">
        <f>-J13*A21/(A21+A15)</f>
        <v>8.3333333333333339</v>
      </c>
      <c r="K21" s="51" t="s">
        <v>121</v>
      </c>
    </row>
    <row r="22" spans="1:12" ht="14.25" thickBot="1">
      <c r="A22">
        <v>50</v>
      </c>
      <c r="H22" s="52"/>
      <c r="I22" s="52"/>
      <c r="J22" s="52"/>
      <c r="K22" s="52"/>
      <c r="L22" s="52"/>
    </row>
    <row r="23" spans="1:12" ht="16.5">
      <c r="E23" s="33" t="s">
        <v>67</v>
      </c>
      <c r="F23" s="2">
        <v>0</v>
      </c>
      <c r="G23" t="s">
        <v>3</v>
      </c>
    </row>
    <row r="24" spans="1:12" ht="16.5">
      <c r="E24" s="33" t="s">
        <v>68</v>
      </c>
      <c r="F24" s="2">
        <v>0</v>
      </c>
      <c r="G24" t="s">
        <v>3</v>
      </c>
    </row>
    <row r="25" spans="1:12" ht="16.5">
      <c r="E25" s="33" t="s">
        <v>69</v>
      </c>
      <c r="F25" s="2">
        <f>F23+F24</f>
        <v>0</v>
      </c>
      <c r="G25" t="s">
        <v>3</v>
      </c>
    </row>
    <row r="27" spans="1:12">
      <c r="A27" s="34" t="s">
        <v>88</v>
      </c>
      <c r="E27" s="34" t="s">
        <v>89</v>
      </c>
    </row>
    <row r="28" spans="1:12">
      <c r="A28" s="2">
        <f>A29</f>
        <v>1000</v>
      </c>
      <c r="E28" s="2">
        <f>E29</f>
        <v>100</v>
      </c>
    </row>
    <row r="29" spans="1:12">
      <c r="A29">
        <v>1000</v>
      </c>
      <c r="E29">
        <v>100</v>
      </c>
    </row>
    <row r="32" spans="1:12" ht="18.75">
      <c r="A32" s="10" t="s">
        <v>95</v>
      </c>
    </row>
    <row r="34" spans="1:13">
      <c r="B34" s="12"/>
    </row>
    <row r="35" spans="1:13">
      <c r="B35" s="12"/>
    </row>
    <row r="38" spans="1:13">
      <c r="A38" s="34"/>
    </row>
    <row r="41" spans="1:13">
      <c r="E41" s="46" t="s">
        <v>117</v>
      </c>
    </row>
    <row r="42" spans="1:13">
      <c r="E42" s="2">
        <f>E43/10</f>
        <v>1</v>
      </c>
    </row>
    <row r="43" spans="1:13">
      <c r="E43">
        <v>10</v>
      </c>
    </row>
    <row r="44" spans="1:13" ht="18.75">
      <c r="A44" s="34" t="s">
        <v>86</v>
      </c>
      <c r="G44" s="42" t="s">
        <v>34</v>
      </c>
      <c r="H44" t="s">
        <v>115</v>
      </c>
    </row>
    <row r="45" spans="1:13" ht="15">
      <c r="A45" s="2">
        <f>A46</f>
        <v>10</v>
      </c>
      <c r="H45" t="s">
        <v>109</v>
      </c>
      <c r="J45" s="2">
        <f>A45+A51</f>
        <v>60</v>
      </c>
      <c r="K45" t="s">
        <v>106</v>
      </c>
    </row>
    <row r="46" spans="1:13" ht="15">
      <c r="A46">
        <v>10</v>
      </c>
      <c r="H46" t="s">
        <v>107</v>
      </c>
      <c r="J46" s="2">
        <v>0.01</v>
      </c>
      <c r="K46" t="s">
        <v>111</v>
      </c>
      <c r="L46">
        <v>1E-3</v>
      </c>
      <c r="M46" t="s">
        <v>108</v>
      </c>
    </row>
    <row r="47" spans="1:13" ht="15.75">
      <c r="H47" t="s">
        <v>110</v>
      </c>
      <c r="J47" s="2">
        <v>980</v>
      </c>
      <c r="K47" t="s">
        <v>112</v>
      </c>
    </row>
    <row r="48" spans="1:13" ht="16.5">
      <c r="H48" t="s">
        <v>113</v>
      </c>
      <c r="J48" s="2">
        <v>1</v>
      </c>
      <c r="K48" t="s">
        <v>114</v>
      </c>
    </row>
    <row r="49" spans="1:19">
      <c r="H49" t="s">
        <v>116</v>
      </c>
    </row>
    <row r="50" spans="1:19">
      <c r="A50" s="34" t="s">
        <v>87</v>
      </c>
      <c r="H50" s="49"/>
      <c r="I50" s="49"/>
      <c r="J50" s="49"/>
      <c r="K50" s="49"/>
      <c r="L50" s="49"/>
    </row>
    <row r="51" spans="1:19">
      <c r="A51" s="2">
        <f>A52</f>
        <v>50</v>
      </c>
      <c r="H51" s="49"/>
      <c r="I51" s="49"/>
      <c r="J51" s="50" t="s">
        <v>104</v>
      </c>
      <c r="K51" s="54">
        <f>J48*J47*PI()*(E42/2/10)^4/8/A51/J46*J45*3600</f>
        <v>1039.0817701748247</v>
      </c>
      <c r="L51" s="49" t="s">
        <v>105</v>
      </c>
    </row>
    <row r="52" spans="1:19" ht="14.25" thickBot="1">
      <c r="A52">
        <v>50</v>
      </c>
      <c r="H52" s="52"/>
      <c r="I52" s="52"/>
      <c r="J52" s="52"/>
      <c r="K52" s="55"/>
      <c r="L52" s="52"/>
    </row>
    <row r="54" spans="1:19" ht="18.75">
      <c r="F54" s="32"/>
      <c r="G54" s="42" t="s">
        <v>85</v>
      </c>
      <c r="H54" t="s">
        <v>92</v>
      </c>
    </row>
    <row r="55" spans="1:19">
      <c r="H55" s="35" t="s">
        <v>118</v>
      </c>
      <c r="I55" s="35"/>
      <c r="J55" s="35"/>
      <c r="K55" s="35"/>
    </row>
    <row r="56" spans="1:19" ht="16.5">
      <c r="F56" s="32"/>
      <c r="H56" s="56" t="s">
        <v>119</v>
      </c>
    </row>
    <row r="57" spans="1:19" ht="16.5">
      <c r="F57" s="32"/>
      <c r="H57" s="33" t="s">
        <v>123</v>
      </c>
      <c r="J57" s="2">
        <v>-8.33</v>
      </c>
      <c r="K57" t="s">
        <v>6</v>
      </c>
    </row>
    <row r="58" spans="1:19" ht="16.5">
      <c r="H58" s="33" t="s">
        <v>124</v>
      </c>
      <c r="J58" s="2">
        <v>10</v>
      </c>
      <c r="K58" t="s">
        <v>6</v>
      </c>
    </row>
    <row r="59" spans="1:19" ht="15.75">
      <c r="E59" s="48"/>
      <c r="F59" s="48"/>
      <c r="H59" s="1" t="s">
        <v>127</v>
      </c>
      <c r="J59" s="29">
        <f>100-PI()*(E42/2/10)^2</f>
        <v>99.992146018366029</v>
      </c>
      <c r="K59" t="s">
        <v>125</v>
      </c>
      <c r="M59" s="32"/>
    </row>
    <row r="60" spans="1:19" ht="15.75">
      <c r="H60" s="1" t="s">
        <v>128</v>
      </c>
      <c r="J60" s="29">
        <f>J59*J58</f>
        <v>999.92146018366032</v>
      </c>
      <c r="K60" t="s">
        <v>126</v>
      </c>
    </row>
    <row r="61" spans="1:19">
      <c r="H61" s="1" t="s">
        <v>129</v>
      </c>
      <c r="J61" s="29"/>
      <c r="R61" s="44"/>
      <c r="S61" s="44"/>
    </row>
    <row r="62" spans="1:19" ht="16.5">
      <c r="H62" s="1" t="s">
        <v>130</v>
      </c>
      <c r="J62" s="89">
        <f>J60+K51</f>
        <v>2039.0032303584849</v>
      </c>
      <c r="K62" t="s">
        <v>126</v>
      </c>
    </row>
    <row r="63" spans="1:19" ht="17.25" thickBot="1">
      <c r="H63" s="52"/>
      <c r="I63" s="57" t="s">
        <v>131</v>
      </c>
      <c r="J63" s="90">
        <f>-J62/100</f>
        <v>-20.390032303584849</v>
      </c>
      <c r="K63" s="52" t="s">
        <v>6</v>
      </c>
      <c r="L63" s="52"/>
    </row>
    <row r="64" spans="1:19">
      <c r="H64" s="32"/>
      <c r="I64" s="45"/>
      <c r="J64" s="2"/>
    </row>
    <row r="65" spans="1:12" ht="18.75">
      <c r="G65" s="42" t="s">
        <v>132</v>
      </c>
      <c r="I65" s="43" t="s">
        <v>133</v>
      </c>
      <c r="J65" s="29">
        <f>-J63*A51/(A45+A51)</f>
        <v>16.991693586320707</v>
      </c>
      <c r="K65" t="s">
        <v>6</v>
      </c>
    </row>
    <row r="66" spans="1:12" ht="14.25" thickBot="1">
      <c r="H66" s="52"/>
      <c r="I66" s="52"/>
      <c r="J66" s="52"/>
      <c r="K66" s="52"/>
      <c r="L66" s="52"/>
    </row>
    <row r="69" spans="1:12" ht="16.5">
      <c r="A69" s="12" t="s">
        <v>141</v>
      </c>
    </row>
    <row r="71" spans="1:12">
      <c r="A71" s="34" t="s">
        <v>135</v>
      </c>
      <c r="B71" s="2">
        <f>D71</f>
        <v>1000</v>
      </c>
      <c r="C71" s="34" t="s">
        <v>139</v>
      </c>
      <c r="D71">
        <v>1000</v>
      </c>
    </row>
    <row r="72" spans="1:12">
      <c r="A72" s="34" t="s">
        <v>136</v>
      </c>
      <c r="B72" s="2">
        <f>D72</f>
        <v>100</v>
      </c>
      <c r="C72" s="34" t="s">
        <v>140</v>
      </c>
      <c r="D72">
        <v>100</v>
      </c>
    </row>
    <row r="73" spans="1:12">
      <c r="A73" s="34" t="s">
        <v>137</v>
      </c>
      <c r="B73" s="2">
        <f>D73</f>
        <v>50</v>
      </c>
      <c r="C73" s="34" t="s">
        <v>3</v>
      </c>
      <c r="D73">
        <v>50</v>
      </c>
    </row>
    <row r="74" spans="1:12">
      <c r="A74" s="34" t="s">
        <v>138</v>
      </c>
      <c r="B74" s="2">
        <f>D74</f>
        <v>10</v>
      </c>
      <c r="C74" s="34" t="s">
        <v>3</v>
      </c>
      <c r="D74">
        <v>10</v>
      </c>
    </row>
    <row r="93" spans="2:2">
      <c r="B93" t="s">
        <v>142</v>
      </c>
    </row>
    <row r="94" spans="2:2">
      <c r="B94" t="s">
        <v>144</v>
      </c>
    </row>
    <row r="95" spans="2:2">
      <c r="B95" t="s">
        <v>145</v>
      </c>
    </row>
    <row r="96" spans="2:2">
      <c r="B96" t="s">
        <v>146</v>
      </c>
    </row>
    <row r="97" spans="2:15">
      <c r="B97" t="s">
        <v>147</v>
      </c>
    </row>
    <row r="98" spans="2:15">
      <c r="B98" t="s">
        <v>148</v>
      </c>
    </row>
    <row r="101" spans="2:15">
      <c r="B101" t="s">
        <v>96</v>
      </c>
      <c r="G101" t="s">
        <v>97</v>
      </c>
      <c r="N101" s="32"/>
      <c r="O101" s="45"/>
    </row>
    <row r="102" spans="2:15">
      <c r="B102" t="s">
        <v>98</v>
      </c>
      <c r="C102" t="s">
        <v>99</v>
      </c>
      <c r="D102" t="s">
        <v>100</v>
      </c>
      <c r="E102" t="s">
        <v>101</v>
      </c>
      <c r="F102" s="23"/>
      <c r="G102" t="s">
        <v>100</v>
      </c>
      <c r="H102" t="s">
        <v>101</v>
      </c>
      <c r="J102" t="s">
        <v>102</v>
      </c>
      <c r="K102" t="s">
        <v>103</v>
      </c>
      <c r="L102" t="s">
        <v>143</v>
      </c>
      <c r="N102" s="32"/>
      <c r="O102" s="45"/>
    </row>
    <row r="103" spans="2:15">
      <c r="B103">
        <v>1E-3</v>
      </c>
      <c r="C103">
        <f>B103/2</f>
        <v>5.0000000000000001E-4</v>
      </c>
      <c r="D103">
        <f>C103*C103*PI()</f>
        <v>7.8539816339744823E-7</v>
      </c>
      <c r="E103">
        <f>(1*980*PI()*(C103^4)*($B$73+$B$74)*3600*100)/(8*$B$73*1)</f>
        <v>1.0390817701748239E-5</v>
      </c>
      <c r="F103" s="23">
        <f>(B103*1.1/2)^2*PI()</f>
        <v>9.5033177771091242E-7</v>
      </c>
      <c r="G103">
        <f>$B$72-D103</f>
        <v>99.999999214601843</v>
      </c>
      <c r="H103">
        <f>-(-$B$71/$B$72*G103)</f>
        <v>999.99999214601849</v>
      </c>
      <c r="J103">
        <f>(E103+H103)/(G103+D103)</f>
        <v>10.000000025368362</v>
      </c>
      <c r="K103">
        <f>($B$73/($B$73+$B$74))*J103</f>
        <v>8.3333333544736359</v>
      </c>
      <c r="L103">
        <f>E103/(H103+E103)*100</f>
        <v>1.0390817675388438E-6</v>
      </c>
    </row>
    <row r="104" spans="2:15">
      <c r="B104">
        <f>IF(F103&lt;$B$72, B103*1.1, B103)</f>
        <v>1.1000000000000001E-3</v>
      </c>
      <c r="C104">
        <f>B104/2</f>
        <v>5.5000000000000003E-4</v>
      </c>
      <c r="D104">
        <f>C104*C104*PI()</f>
        <v>9.5033177771091242E-7</v>
      </c>
      <c r="E104">
        <f>(1*980*PI()*(C104^4)*($B$73+$B$74)*3600*100)/(8*$B$73*1)</f>
        <v>1.5213196197129601E-5</v>
      </c>
      <c r="F104" s="23">
        <f t="shared" ref="F104:F167" si="0">(B104*1.1/2)^2*PI()</f>
        <v>1.1499014510302042E-6</v>
      </c>
      <c r="G104">
        <f>$B$72-D104</f>
        <v>99.999999049668219</v>
      </c>
      <c r="H104">
        <f>-(-$B$71/$B$72*G104)</f>
        <v>999.99999049668213</v>
      </c>
      <c r="J104">
        <f t="shared" ref="J104:J167" si="1">(E104+H104)/(G104+D104)</f>
        <v>10.000000057098783</v>
      </c>
      <c r="K104">
        <f t="shared" ref="K104:K167" si="2">($B$73/($B$73+$B$74))*J104</f>
        <v>8.3333333809156525</v>
      </c>
      <c r="L104">
        <f t="shared" ref="L104:L167" si="3">E104/(H104+E104)*100</f>
        <v>1.5213196110264103E-6</v>
      </c>
    </row>
    <row r="105" spans="2:15">
      <c r="B105">
        <f t="shared" ref="B105:B168" si="4">IF(F104&lt;$B$72, B104*1.1, B104)</f>
        <v>1.2100000000000001E-3</v>
      </c>
      <c r="C105">
        <f t="shared" ref="C105:C168" si="5">B105/2</f>
        <v>6.0500000000000007E-4</v>
      </c>
      <c r="D105">
        <f t="shared" ref="D105:D168" si="6">C105*C105*PI()</f>
        <v>1.1499014510302042E-6</v>
      </c>
      <c r="E105">
        <f t="shared" ref="E105:E168" si="7">(1*980*PI()*(C105^4)*($B$73+$B$74)*3600*100)/(8*$B$73*1)</f>
        <v>2.2273640552217454E-5</v>
      </c>
      <c r="F105" s="23">
        <f t="shared" si="0"/>
        <v>1.3913807557465472E-6</v>
      </c>
      <c r="G105">
        <f t="shared" ref="G105:G168" si="8">$B$72-D105</f>
        <v>99.999998850098549</v>
      </c>
      <c r="H105">
        <f t="shared" ref="H105:H168" si="9">-(-$B$71/$B$72*G105)</f>
        <v>999.99998850098552</v>
      </c>
      <c r="J105">
        <f t="shared" si="1"/>
        <v>10.00000010774626</v>
      </c>
      <c r="K105">
        <f t="shared" si="2"/>
        <v>8.3333334231218839</v>
      </c>
      <c r="L105">
        <f t="shared" si="3"/>
        <v>2.2273640312227308E-6</v>
      </c>
    </row>
    <row r="106" spans="2:15">
      <c r="B106">
        <f t="shared" si="4"/>
        <v>1.3310000000000002E-3</v>
      </c>
      <c r="C106">
        <f t="shared" si="5"/>
        <v>6.6550000000000008E-4</v>
      </c>
      <c r="D106">
        <f t="shared" si="6"/>
        <v>1.3913807557465472E-6</v>
      </c>
      <c r="E106">
        <f t="shared" si="7"/>
        <v>3.2610837132501578E-5</v>
      </c>
      <c r="F106" s="23">
        <f t="shared" si="0"/>
        <v>1.6835707144533224E-6</v>
      </c>
      <c r="G106">
        <f t="shared" si="8"/>
        <v>99.999998608619251</v>
      </c>
      <c r="H106">
        <f t="shared" si="9"/>
        <v>999.99998608619251</v>
      </c>
      <c r="J106">
        <f t="shared" si="1"/>
        <v>10.000000186970297</v>
      </c>
      <c r="K106">
        <f t="shared" si="2"/>
        <v>8.3333334891419142</v>
      </c>
      <c r="L106">
        <f t="shared" si="3"/>
        <v>3.2610836522775799E-6</v>
      </c>
    </row>
    <row r="107" spans="2:15">
      <c r="B107">
        <f t="shared" si="4"/>
        <v>1.4641000000000003E-3</v>
      </c>
      <c r="C107">
        <f t="shared" si="5"/>
        <v>7.3205000000000015E-4</v>
      </c>
      <c r="D107">
        <f t="shared" si="6"/>
        <v>1.6835707144533224E-6</v>
      </c>
      <c r="E107">
        <f t="shared" si="7"/>
        <v>4.7745526645695577E-5</v>
      </c>
      <c r="F107" s="23">
        <f t="shared" si="0"/>
        <v>2.0371205644885207E-6</v>
      </c>
      <c r="G107">
        <f t="shared" si="8"/>
        <v>99.999998316429284</v>
      </c>
      <c r="H107">
        <f t="shared" si="9"/>
        <v>999.99998316429287</v>
      </c>
      <c r="J107">
        <f t="shared" si="1"/>
        <v>10.000000309098196</v>
      </c>
      <c r="K107">
        <f t="shared" si="2"/>
        <v>8.3333335909151636</v>
      </c>
      <c r="L107">
        <f t="shared" si="3"/>
        <v>4.7745525169890009E-6</v>
      </c>
    </row>
    <row r="108" spans="2:15">
      <c r="B108">
        <f t="shared" si="4"/>
        <v>1.6105100000000005E-3</v>
      </c>
      <c r="C108">
        <f t="shared" si="5"/>
        <v>8.0525500000000027E-4</v>
      </c>
      <c r="D108">
        <f t="shared" si="6"/>
        <v>2.0371205644885207E-6</v>
      </c>
      <c r="E108">
        <f t="shared" si="7"/>
        <v>6.9904225561962934E-5</v>
      </c>
      <c r="F108" s="23">
        <f t="shared" si="0"/>
        <v>2.4649158830311103E-6</v>
      </c>
      <c r="G108">
        <f t="shared" si="8"/>
        <v>99.999997962879434</v>
      </c>
      <c r="H108">
        <f t="shared" si="9"/>
        <v>999.99997962879434</v>
      </c>
      <c r="J108">
        <f t="shared" si="1"/>
        <v>10.0000004953302</v>
      </c>
      <c r="K108">
        <f t="shared" si="2"/>
        <v>8.3333337461085009</v>
      </c>
      <c r="L108">
        <f t="shared" si="3"/>
        <v>6.99042220993957E-6</v>
      </c>
    </row>
    <row r="109" spans="2:15">
      <c r="B109">
        <f t="shared" si="4"/>
        <v>1.7715610000000007E-3</v>
      </c>
      <c r="C109">
        <f t="shared" si="5"/>
        <v>8.8578050000000035E-4</v>
      </c>
      <c r="D109">
        <f t="shared" si="6"/>
        <v>2.4649158830311103E-6</v>
      </c>
      <c r="E109">
        <f t="shared" si="7"/>
        <v>1.0234677664526996E-4</v>
      </c>
      <c r="F109" s="23">
        <f t="shared" si="0"/>
        <v>2.982548218467644E-6</v>
      </c>
      <c r="G109">
        <f t="shared" si="8"/>
        <v>99.99999753508412</v>
      </c>
      <c r="H109">
        <f t="shared" si="9"/>
        <v>999.99997535084117</v>
      </c>
      <c r="J109">
        <f t="shared" si="1"/>
        <v>10.000000776976178</v>
      </c>
      <c r="K109">
        <f t="shared" si="2"/>
        <v>8.3333339808134816</v>
      </c>
      <c r="L109">
        <f t="shared" si="3"/>
        <v>1.0234676869316985E-5</v>
      </c>
    </row>
    <row r="110" spans="2:15">
      <c r="B110">
        <f t="shared" si="4"/>
        <v>1.9487171000000009E-3</v>
      </c>
      <c r="C110">
        <f t="shared" si="5"/>
        <v>9.7435855000000044E-4</v>
      </c>
      <c r="D110">
        <f t="shared" si="6"/>
        <v>2.982548218467644E-6</v>
      </c>
      <c r="E110">
        <f t="shared" si="7"/>
        <v>1.4984591568633978E-4</v>
      </c>
      <c r="F110" s="23">
        <f t="shared" si="0"/>
        <v>3.6088833443458495E-6</v>
      </c>
      <c r="G110">
        <f t="shared" si="8"/>
        <v>99.999997017451776</v>
      </c>
      <c r="H110">
        <f t="shared" si="9"/>
        <v>999.99997017451778</v>
      </c>
      <c r="J110">
        <f t="shared" si="1"/>
        <v>10.000001200204334</v>
      </c>
      <c r="K110">
        <f t="shared" si="2"/>
        <v>8.333334333503613</v>
      </c>
      <c r="L110">
        <f t="shared" si="3"/>
        <v>1.4984589770177018E-5</v>
      </c>
    </row>
    <row r="111" spans="2:15">
      <c r="B111">
        <f t="shared" si="4"/>
        <v>2.1435888100000012E-3</v>
      </c>
      <c r="C111">
        <f t="shared" si="5"/>
        <v>1.0717944050000006E-3</v>
      </c>
      <c r="D111">
        <f t="shared" si="6"/>
        <v>3.6088833443458495E-6</v>
      </c>
      <c r="E111">
        <f t="shared" si="7"/>
        <v>2.1938940515637016E-4</v>
      </c>
      <c r="F111" s="23">
        <f t="shared" si="0"/>
        <v>4.3667488466584796E-6</v>
      </c>
      <c r="G111">
        <f t="shared" si="8"/>
        <v>99.999996391116653</v>
      </c>
      <c r="H111">
        <f t="shared" si="9"/>
        <v>999.99996391116656</v>
      </c>
      <c r="J111">
        <f t="shared" si="1"/>
        <v>10.000001833005717</v>
      </c>
      <c r="K111">
        <f t="shared" si="2"/>
        <v>8.3333348608380984</v>
      </c>
      <c r="L111">
        <f t="shared" si="3"/>
        <v>2.1938936494217412E-5</v>
      </c>
    </row>
    <row r="112" spans="2:15">
      <c r="B112">
        <f t="shared" si="4"/>
        <v>2.3579476910000016E-3</v>
      </c>
      <c r="C112">
        <f t="shared" si="5"/>
        <v>1.1789738455000008E-3</v>
      </c>
      <c r="D112">
        <f t="shared" si="6"/>
        <v>4.3667488466584796E-6</v>
      </c>
      <c r="E112">
        <f t="shared" si="7"/>
        <v>3.2120802808944182E-4</v>
      </c>
      <c r="F112" s="23">
        <f t="shared" si="0"/>
        <v>5.2837661044567608E-6</v>
      </c>
      <c r="G112">
        <f t="shared" si="8"/>
        <v>99.99999563325116</v>
      </c>
      <c r="H112">
        <f t="shared" si="9"/>
        <v>999.9999563325116</v>
      </c>
      <c r="J112">
        <f t="shared" si="1"/>
        <v>10.000002775405397</v>
      </c>
      <c r="K112">
        <f t="shared" si="2"/>
        <v>8.3333356461711645</v>
      </c>
      <c r="L112">
        <f t="shared" si="3"/>
        <v>3.2120793894121704E-5</v>
      </c>
    </row>
    <row r="113" spans="2:12">
      <c r="B113">
        <f t="shared" si="4"/>
        <v>2.5937424601000019E-3</v>
      </c>
      <c r="C113">
        <f t="shared" si="5"/>
        <v>1.296871230050001E-3</v>
      </c>
      <c r="D113">
        <f t="shared" si="6"/>
        <v>5.2837661044567608E-6</v>
      </c>
      <c r="E113">
        <f t="shared" si="7"/>
        <v>4.7028067392575174E-4</v>
      </c>
      <c r="F113" s="23">
        <f t="shared" si="0"/>
        <v>6.3933569863926803E-6</v>
      </c>
      <c r="G113">
        <f t="shared" si="8"/>
        <v>99.9999947162339</v>
      </c>
      <c r="H113">
        <f t="shared" si="9"/>
        <v>999.99994716233903</v>
      </c>
      <c r="J113">
        <f t="shared" si="1"/>
        <v>10.00000417443013</v>
      </c>
      <c r="K113">
        <f t="shared" si="2"/>
        <v>8.3333368120251077</v>
      </c>
      <c r="L113">
        <f t="shared" si="3"/>
        <v>4.7028047761045225E-5</v>
      </c>
    </row>
    <row r="114" spans="2:12">
      <c r="B114">
        <f t="shared" si="4"/>
        <v>2.8531167061100022E-3</v>
      </c>
      <c r="C114">
        <f t="shared" si="5"/>
        <v>1.4265583530550011E-3</v>
      </c>
      <c r="D114">
        <f t="shared" si="6"/>
        <v>6.3933569863926803E-6</v>
      </c>
      <c r="E114">
        <f t="shared" si="7"/>
        <v>6.885379346946932E-4</v>
      </c>
      <c r="F114" s="23">
        <f t="shared" si="0"/>
        <v>7.7359619535351466E-6</v>
      </c>
      <c r="G114">
        <f t="shared" si="8"/>
        <v>99.999993606643017</v>
      </c>
      <c r="H114">
        <f t="shared" si="9"/>
        <v>999.99993606643011</v>
      </c>
      <c r="J114">
        <f t="shared" si="1"/>
        <v>10.000006246043649</v>
      </c>
      <c r="K114">
        <f t="shared" si="2"/>
        <v>8.3333385383697074</v>
      </c>
      <c r="L114">
        <f t="shared" si="3"/>
        <v>6.8853750463116238E-5</v>
      </c>
    </row>
    <row r="115" spans="2:12">
      <c r="B115">
        <f t="shared" si="4"/>
        <v>3.1384283767210029E-3</v>
      </c>
      <c r="C115">
        <f t="shared" si="5"/>
        <v>1.5692141883605014E-3</v>
      </c>
      <c r="D115">
        <f t="shared" si="6"/>
        <v>7.7359619535351466E-6</v>
      </c>
      <c r="E115">
        <f t="shared" si="7"/>
        <v>1.0080883901865008E-3</v>
      </c>
      <c r="F115" s="23">
        <f t="shared" si="0"/>
        <v>9.3605139637775283E-6</v>
      </c>
      <c r="G115">
        <f t="shared" si="8"/>
        <v>99.999992264038042</v>
      </c>
      <c r="H115">
        <f t="shared" si="9"/>
        <v>999.99992264038042</v>
      </c>
      <c r="J115">
        <f t="shared" si="1"/>
        <v>10.000009307287707</v>
      </c>
      <c r="K115">
        <f t="shared" si="2"/>
        <v>8.3333410894064226</v>
      </c>
      <c r="L115">
        <f t="shared" si="3"/>
        <v>1.0080874519305059E-4</v>
      </c>
    </row>
    <row r="116" spans="2:12">
      <c r="B116">
        <f t="shared" si="4"/>
        <v>3.4522712143931033E-3</v>
      </c>
      <c r="C116">
        <f t="shared" si="5"/>
        <v>1.7261356071965517E-3</v>
      </c>
      <c r="D116">
        <f t="shared" si="6"/>
        <v>9.3605139637775283E-6</v>
      </c>
      <c r="E116">
        <f t="shared" si="7"/>
        <v>1.4759422120720564E-3</v>
      </c>
      <c r="F116" s="23">
        <f t="shared" si="0"/>
        <v>1.1326221896170808E-5</v>
      </c>
      <c r="G116">
        <f t="shared" si="8"/>
        <v>99.999990639486043</v>
      </c>
      <c r="H116">
        <f t="shared" si="9"/>
        <v>999.99990639486043</v>
      </c>
      <c r="J116">
        <f t="shared" si="1"/>
        <v>10.000013823370725</v>
      </c>
      <c r="K116">
        <f t="shared" si="2"/>
        <v>8.3333448528089384</v>
      </c>
      <c r="L116">
        <f t="shared" si="3"/>
        <v>1.4759401718252401E-4</v>
      </c>
    </row>
    <row r="117" spans="2:12">
      <c r="B117">
        <f t="shared" si="4"/>
        <v>3.7974983358324138E-3</v>
      </c>
      <c r="C117">
        <f t="shared" si="5"/>
        <v>1.8987491679162069E-3</v>
      </c>
      <c r="D117">
        <f t="shared" si="6"/>
        <v>1.1326221896170808E-5</v>
      </c>
      <c r="E117">
        <f t="shared" si="7"/>
        <v>2.1609269926946978E-3</v>
      </c>
      <c r="F117" s="23">
        <f t="shared" si="0"/>
        <v>1.3704728494366683E-5</v>
      </c>
      <c r="G117">
        <f t="shared" si="8"/>
        <v>99.999988673778105</v>
      </c>
      <c r="H117">
        <f t="shared" si="9"/>
        <v>999.99988673778103</v>
      </c>
      <c r="J117">
        <f t="shared" si="1"/>
        <v>10.000020476647737</v>
      </c>
      <c r="K117">
        <f t="shared" si="2"/>
        <v>8.3333503972064484</v>
      </c>
      <c r="L117">
        <f t="shared" si="3"/>
        <v>2.1609225678496767E-4</v>
      </c>
    </row>
    <row r="118" spans="2:12">
      <c r="B118">
        <f t="shared" si="4"/>
        <v>4.1772481694156557E-3</v>
      </c>
      <c r="C118">
        <f t="shared" si="5"/>
        <v>2.0886240847078279E-3</v>
      </c>
      <c r="D118">
        <f t="shared" si="6"/>
        <v>1.3704728494366683E-5</v>
      </c>
      <c r="E118">
        <f t="shared" si="7"/>
        <v>3.1638132100043088E-3</v>
      </c>
      <c r="F118" s="23">
        <f t="shared" si="0"/>
        <v>1.6582721478183689E-5</v>
      </c>
      <c r="G118">
        <f t="shared" si="8"/>
        <v>99.999986295271512</v>
      </c>
      <c r="H118">
        <f t="shared" si="9"/>
        <v>999.99986295271515</v>
      </c>
      <c r="J118">
        <f t="shared" si="1"/>
        <v>10.000030267659252</v>
      </c>
      <c r="K118">
        <f t="shared" si="2"/>
        <v>8.3333585563827111</v>
      </c>
      <c r="L118">
        <f t="shared" si="3"/>
        <v>3.1638036339112758E-4</v>
      </c>
    </row>
    <row r="119" spans="2:12">
      <c r="B119">
        <f t="shared" si="4"/>
        <v>4.5949729863572217E-3</v>
      </c>
      <c r="C119">
        <f t="shared" si="5"/>
        <v>2.2974864931786109E-3</v>
      </c>
      <c r="D119">
        <f t="shared" si="6"/>
        <v>1.6582721478183689E-5</v>
      </c>
      <c r="E119">
        <f t="shared" si="7"/>
        <v>4.6321389207673097E-3</v>
      </c>
      <c r="F119" s="23">
        <f t="shared" si="0"/>
        <v>2.0065092988602267E-5</v>
      </c>
      <c r="G119">
        <f t="shared" si="8"/>
        <v>99.999983417278528</v>
      </c>
      <c r="H119">
        <f t="shared" si="9"/>
        <v>999.99983417278531</v>
      </c>
      <c r="J119">
        <f t="shared" si="1"/>
        <v>10.000044663117061</v>
      </c>
      <c r="K119">
        <f t="shared" si="2"/>
        <v>8.3333705525975503</v>
      </c>
      <c r="L119">
        <f t="shared" si="3"/>
        <v>4.6321182322834248E-4</v>
      </c>
    </row>
    <row r="120" spans="2:12">
      <c r="B120">
        <f t="shared" si="4"/>
        <v>5.0544702849929443E-3</v>
      </c>
      <c r="C120">
        <f t="shared" si="5"/>
        <v>2.5272351424964722E-3</v>
      </c>
      <c r="D120">
        <f t="shared" si="6"/>
        <v>2.0065092988602267E-5</v>
      </c>
      <c r="E120">
        <f t="shared" si="7"/>
        <v>6.7819145938954216E-3</v>
      </c>
      <c r="F120" s="23">
        <f t="shared" si="0"/>
        <v>2.4278762516208744E-5</v>
      </c>
      <c r="G120">
        <f t="shared" si="8"/>
        <v>99.999979934907017</v>
      </c>
      <c r="H120">
        <f t="shared" si="9"/>
        <v>999.99979934907014</v>
      </c>
      <c r="J120">
        <f t="shared" si="1"/>
        <v>10.000065812636642</v>
      </c>
      <c r="K120">
        <f t="shared" si="2"/>
        <v>8.333388177197202</v>
      </c>
      <c r="L120">
        <f t="shared" si="3"/>
        <v>6.7818699606210747E-4</v>
      </c>
    </row>
    <row r="121" spans="2:12">
      <c r="B121">
        <f t="shared" si="4"/>
        <v>5.5599173134922393E-3</v>
      </c>
      <c r="C121">
        <f t="shared" si="5"/>
        <v>2.7799586567461196E-3</v>
      </c>
      <c r="D121">
        <f t="shared" si="6"/>
        <v>2.4278762516208744E-5</v>
      </c>
      <c r="E121">
        <f t="shared" si="7"/>
        <v>9.9294011569222868E-3</v>
      </c>
      <c r="F121" s="23">
        <f t="shared" si="0"/>
        <v>2.9377302644612591E-5</v>
      </c>
      <c r="G121">
        <f t="shared" si="8"/>
        <v>99.99997572123749</v>
      </c>
      <c r="H121">
        <f t="shared" si="9"/>
        <v>999.9997572123749</v>
      </c>
      <c r="J121">
        <f t="shared" si="1"/>
        <v>10.000096866135317</v>
      </c>
      <c r="K121">
        <f t="shared" si="2"/>
        <v>8.3334140551127653</v>
      </c>
      <c r="L121">
        <f t="shared" si="3"/>
        <v>9.9293049755823501E-4</v>
      </c>
    </row>
    <row r="122" spans="2:12">
      <c r="B122">
        <f t="shared" si="4"/>
        <v>6.115909044841464E-3</v>
      </c>
      <c r="C122">
        <f t="shared" si="5"/>
        <v>3.057954522420732E-3</v>
      </c>
      <c r="D122">
        <f t="shared" si="6"/>
        <v>2.9377302644612591E-5</v>
      </c>
      <c r="E122">
        <f t="shared" si="7"/>
        <v>1.453763623384993E-2</v>
      </c>
      <c r="F122" s="23">
        <f t="shared" si="0"/>
        <v>3.5546536199981241E-5</v>
      </c>
      <c r="G122">
        <f t="shared" si="8"/>
        <v>99.999970622697361</v>
      </c>
      <c r="H122">
        <f t="shared" si="9"/>
        <v>999.99970622697356</v>
      </c>
      <c r="J122">
        <f t="shared" si="1"/>
        <v>10.000142438632075</v>
      </c>
      <c r="K122">
        <f t="shared" si="2"/>
        <v>8.3334520321933958</v>
      </c>
      <c r="L122">
        <f t="shared" si="3"/>
        <v>1.4537429164697521E-3</v>
      </c>
    </row>
    <row r="123" spans="2:12">
      <c r="B123">
        <f t="shared" si="4"/>
        <v>6.7274999493256108E-3</v>
      </c>
      <c r="C123">
        <f t="shared" si="5"/>
        <v>3.3637499746628054E-3</v>
      </c>
      <c r="D123">
        <f t="shared" si="6"/>
        <v>3.5546536199981241E-5</v>
      </c>
      <c r="E123">
        <f t="shared" si="7"/>
        <v>2.1284553209979688E-2</v>
      </c>
      <c r="F123" s="23">
        <f t="shared" si="0"/>
        <v>4.3011308801977308E-5</v>
      </c>
      <c r="G123">
        <f t="shared" si="8"/>
        <v>99.999964453463804</v>
      </c>
      <c r="H123">
        <f t="shared" si="9"/>
        <v>999.99964453463804</v>
      </c>
      <c r="J123">
        <f t="shared" si="1"/>
        <v>10.00020929087848</v>
      </c>
      <c r="K123">
        <f t="shared" si="2"/>
        <v>8.3335077423987336</v>
      </c>
      <c r="L123">
        <f t="shared" si="3"/>
        <v>2.1284107753018759E-3</v>
      </c>
    </row>
    <row r="124" spans="2:12">
      <c r="B124">
        <f t="shared" si="4"/>
        <v>7.4002499442581728E-3</v>
      </c>
      <c r="C124">
        <f t="shared" si="5"/>
        <v>3.7001249721290864E-3</v>
      </c>
      <c r="D124">
        <f t="shared" si="6"/>
        <v>4.3011308801977308E-5</v>
      </c>
      <c r="E124">
        <f t="shared" si="7"/>
        <v>3.116271435473127E-2</v>
      </c>
      <c r="F124" s="23">
        <f t="shared" si="0"/>
        <v>5.2043683650392559E-5</v>
      </c>
      <c r="G124">
        <f t="shared" si="8"/>
        <v>99.999956988691196</v>
      </c>
      <c r="H124">
        <f t="shared" si="9"/>
        <v>999.99956988691201</v>
      </c>
      <c r="J124">
        <f t="shared" si="1"/>
        <v>10.000307326012667</v>
      </c>
      <c r="K124">
        <f t="shared" si="2"/>
        <v>8.3335894383438891</v>
      </c>
      <c r="L124">
        <f t="shared" si="3"/>
        <v>3.1161756672888671E-3</v>
      </c>
    </row>
    <row r="125" spans="2:12">
      <c r="B125">
        <f t="shared" si="4"/>
        <v>8.1402749386839911E-3</v>
      </c>
      <c r="C125">
        <f t="shared" si="5"/>
        <v>4.0701374693419955E-3</v>
      </c>
      <c r="D125">
        <f t="shared" si="6"/>
        <v>5.2043683650392559E-5</v>
      </c>
      <c r="E125">
        <f t="shared" si="7"/>
        <v>4.5625330086762082E-2</v>
      </c>
      <c r="F125" s="23">
        <f t="shared" si="0"/>
        <v>6.2972857216974995E-5</v>
      </c>
      <c r="G125">
        <f t="shared" si="8"/>
        <v>99.999947956316348</v>
      </c>
      <c r="H125">
        <f t="shared" si="9"/>
        <v>999.9994795631635</v>
      </c>
      <c r="J125">
        <f t="shared" si="1"/>
        <v>10.000451048932502</v>
      </c>
      <c r="K125">
        <f t="shared" si="2"/>
        <v>8.3337092074437518</v>
      </c>
      <c r="L125">
        <f t="shared" si="3"/>
        <v>4.5623272253937346E-3</v>
      </c>
    </row>
    <row r="126" spans="2:12">
      <c r="B126">
        <f t="shared" si="4"/>
        <v>8.9543024325523905E-3</v>
      </c>
      <c r="C126">
        <f t="shared" si="5"/>
        <v>4.4771512162761953E-3</v>
      </c>
      <c r="D126">
        <f t="shared" si="6"/>
        <v>6.2972857216974995E-5</v>
      </c>
      <c r="E126">
        <f t="shared" si="7"/>
        <v>6.6800045780028391E-2</v>
      </c>
      <c r="F126" s="23">
        <f t="shared" si="0"/>
        <v>7.6197157232539762E-5</v>
      </c>
      <c r="G126">
        <f t="shared" si="8"/>
        <v>99.999937027142778</v>
      </c>
      <c r="H126">
        <f t="shared" si="9"/>
        <v>999.99937027142778</v>
      </c>
      <c r="J126">
        <f t="shared" si="1"/>
        <v>10.000661703172078</v>
      </c>
      <c r="K126">
        <f t="shared" si="2"/>
        <v>8.3338847526433995</v>
      </c>
      <c r="L126">
        <f t="shared" si="3"/>
        <v>6.679562589227501E-3</v>
      </c>
    </row>
    <row r="127" spans="2:12">
      <c r="B127">
        <f t="shared" si="4"/>
        <v>9.8497326758076303E-3</v>
      </c>
      <c r="C127">
        <f t="shared" si="5"/>
        <v>4.9248663379038151E-3</v>
      </c>
      <c r="D127">
        <f t="shared" si="6"/>
        <v>7.6197157232539762E-5</v>
      </c>
      <c r="E127">
        <f t="shared" si="7"/>
        <v>9.7801947026539562E-2</v>
      </c>
      <c r="F127" s="23">
        <f t="shared" si="0"/>
        <v>9.2198560251373113E-5</v>
      </c>
      <c r="G127">
        <f t="shared" si="8"/>
        <v>99.999923802842773</v>
      </c>
      <c r="H127">
        <f t="shared" si="9"/>
        <v>999.99923802842773</v>
      </c>
      <c r="J127">
        <f t="shared" si="1"/>
        <v>10.000970399754543</v>
      </c>
      <c r="K127">
        <f t="shared" si="2"/>
        <v>8.3341419997954524</v>
      </c>
      <c r="L127">
        <f t="shared" si="3"/>
        <v>9.779245724888851E-3</v>
      </c>
    </row>
    <row r="128" spans="2:12">
      <c r="B128">
        <f t="shared" si="4"/>
        <v>1.0834705943388393E-2</v>
      </c>
      <c r="C128">
        <f t="shared" si="5"/>
        <v>5.4173529716941967E-3</v>
      </c>
      <c r="D128">
        <f t="shared" si="6"/>
        <v>9.2198560251373113E-5</v>
      </c>
      <c r="E128">
        <f t="shared" si="7"/>
        <v>0.14319183064155663</v>
      </c>
      <c r="F128" s="23">
        <f t="shared" si="0"/>
        <v>1.1156025790416147E-4</v>
      </c>
      <c r="G128">
        <f t="shared" si="8"/>
        <v>99.999907801439747</v>
      </c>
      <c r="H128">
        <f t="shared" si="9"/>
        <v>999.99907801439747</v>
      </c>
      <c r="J128">
        <f t="shared" si="1"/>
        <v>10.001422698450391</v>
      </c>
      <c r="K128">
        <f t="shared" si="2"/>
        <v>8.3345189153753267</v>
      </c>
      <c r="L128">
        <f t="shared" si="3"/>
        <v>1.4317146165989227E-2</v>
      </c>
    </row>
    <row r="129" spans="2:12">
      <c r="B129">
        <f t="shared" si="4"/>
        <v>1.1918176537727233E-2</v>
      </c>
      <c r="C129">
        <f t="shared" si="5"/>
        <v>5.9590882688636167E-3</v>
      </c>
      <c r="D129">
        <f t="shared" si="6"/>
        <v>1.1156025790416147E-4</v>
      </c>
      <c r="E129">
        <f t="shared" si="7"/>
        <v>0.20964715924230309</v>
      </c>
      <c r="F129" s="23">
        <f t="shared" si="0"/>
        <v>1.3498791206403542E-4</v>
      </c>
      <c r="G129">
        <f t="shared" si="8"/>
        <v>99.999888439742094</v>
      </c>
      <c r="H129">
        <f t="shared" si="9"/>
        <v>999.99888439742097</v>
      </c>
      <c r="J129">
        <f t="shared" si="1"/>
        <v>10.002085315566633</v>
      </c>
      <c r="K129">
        <f t="shared" si="2"/>
        <v>8.3350710963055281</v>
      </c>
      <c r="L129">
        <f t="shared" si="3"/>
        <v>2.0960345030852826E-2</v>
      </c>
    </row>
    <row r="130" spans="2:12">
      <c r="B130">
        <f t="shared" si="4"/>
        <v>1.3109994191499958E-2</v>
      </c>
      <c r="C130">
        <f t="shared" si="5"/>
        <v>6.554997095749979E-3</v>
      </c>
      <c r="D130">
        <f t="shared" si="6"/>
        <v>1.3498791206403542E-4</v>
      </c>
      <c r="E130">
        <f t="shared" si="7"/>
        <v>0.30694440584665605</v>
      </c>
      <c r="F130" s="23">
        <f t="shared" si="0"/>
        <v>1.6333537359748286E-4</v>
      </c>
      <c r="G130">
        <f t="shared" si="8"/>
        <v>99.999865012087938</v>
      </c>
      <c r="H130">
        <f t="shared" si="9"/>
        <v>999.99865012087935</v>
      </c>
      <c r="J130">
        <f t="shared" si="1"/>
        <v>10.00305594526726</v>
      </c>
      <c r="K130">
        <f t="shared" si="2"/>
        <v>8.3358799543893838</v>
      </c>
      <c r="L130">
        <f t="shared" si="3"/>
        <v>3.0685063397239167E-2</v>
      </c>
    </row>
    <row r="131" spans="2:12">
      <c r="B131">
        <f t="shared" si="4"/>
        <v>1.4420993610649954E-2</v>
      </c>
      <c r="C131">
        <f t="shared" si="5"/>
        <v>7.2104968053249771E-3</v>
      </c>
      <c r="D131">
        <f t="shared" si="6"/>
        <v>1.6333537359748286E-4</v>
      </c>
      <c r="E131">
        <f t="shared" si="7"/>
        <v>0.4493973046000892</v>
      </c>
      <c r="F131" s="23">
        <f t="shared" si="0"/>
        <v>1.9763580205295431E-4</v>
      </c>
      <c r="G131">
        <f t="shared" si="8"/>
        <v>99.9998366646264</v>
      </c>
      <c r="H131">
        <f t="shared" si="9"/>
        <v>999.998366646264</v>
      </c>
      <c r="J131">
        <f t="shared" si="1"/>
        <v>10.004477639508641</v>
      </c>
      <c r="K131">
        <f t="shared" si="2"/>
        <v>8.3370646995905346</v>
      </c>
      <c r="L131">
        <f t="shared" si="3"/>
        <v>4.4919617074796206E-2</v>
      </c>
    </row>
    <row r="132" spans="2:12">
      <c r="B132">
        <f t="shared" si="4"/>
        <v>1.586309297171495E-2</v>
      </c>
      <c r="C132">
        <f t="shared" si="5"/>
        <v>7.9315464858574752E-3</v>
      </c>
      <c r="D132">
        <f t="shared" si="6"/>
        <v>1.9763580205295431E-4</v>
      </c>
      <c r="E132">
        <f t="shared" si="7"/>
        <v>0.65796259366499077</v>
      </c>
      <c r="F132" s="23">
        <f t="shared" si="0"/>
        <v>2.3913932048407475E-4</v>
      </c>
      <c r="G132">
        <f t="shared" si="8"/>
        <v>99.999802364197947</v>
      </c>
      <c r="H132">
        <f t="shared" si="9"/>
        <v>999.99802364197944</v>
      </c>
      <c r="J132">
        <f t="shared" si="1"/>
        <v>10.006559862356445</v>
      </c>
      <c r="K132">
        <f t="shared" si="2"/>
        <v>8.3387998852970373</v>
      </c>
      <c r="L132">
        <f t="shared" si="3"/>
        <v>6.5753126220747665E-2</v>
      </c>
    </row>
    <row r="133" spans="2:12">
      <c r="B133">
        <f t="shared" si="4"/>
        <v>1.7449402268886447E-2</v>
      </c>
      <c r="C133">
        <f t="shared" si="5"/>
        <v>8.7247011344432236E-3</v>
      </c>
      <c r="D133">
        <f t="shared" si="6"/>
        <v>2.3913932048407475E-4</v>
      </c>
      <c r="E133">
        <f t="shared" si="7"/>
        <v>0.96332303338491343</v>
      </c>
      <c r="F133" s="23">
        <f t="shared" si="0"/>
        <v>2.8935857778573053E-4</v>
      </c>
      <c r="G133">
        <f t="shared" si="8"/>
        <v>99.999760860679515</v>
      </c>
      <c r="H133">
        <f t="shared" si="9"/>
        <v>999.99760860679521</v>
      </c>
      <c r="J133">
        <f t="shared" si="1"/>
        <v>10.0096093164018</v>
      </c>
      <c r="K133">
        <f t="shared" si="2"/>
        <v>8.3413410970015001</v>
      </c>
      <c r="L133">
        <f t="shared" si="3"/>
        <v>9.6239823447095682E-2</v>
      </c>
    </row>
    <row r="134" spans="2:12">
      <c r="B134">
        <f t="shared" si="4"/>
        <v>1.9194342495775094E-2</v>
      </c>
      <c r="C134">
        <f t="shared" si="5"/>
        <v>9.5971712478875471E-3</v>
      </c>
      <c r="D134">
        <f t="shared" si="6"/>
        <v>2.8935857778573053E-4</v>
      </c>
      <c r="E134">
        <f t="shared" si="7"/>
        <v>1.4104012531788523</v>
      </c>
      <c r="F134" s="23">
        <f t="shared" si="0"/>
        <v>3.5012387912073404E-4</v>
      </c>
      <c r="G134">
        <f t="shared" si="8"/>
        <v>99.999710641422212</v>
      </c>
      <c r="H134">
        <f t="shared" si="9"/>
        <v>999.99710641422212</v>
      </c>
      <c r="J134">
        <f t="shared" si="1"/>
        <v>10.014075076674009</v>
      </c>
      <c r="K134">
        <f t="shared" si="2"/>
        <v>8.3450625638950076</v>
      </c>
      <c r="L134">
        <f t="shared" si="3"/>
        <v>0.14084188927883404</v>
      </c>
    </row>
    <row r="135" spans="2:12">
      <c r="B135">
        <f t="shared" si="4"/>
        <v>2.1113776745352607E-2</v>
      </c>
      <c r="C135">
        <f t="shared" si="5"/>
        <v>1.0556888372676303E-2</v>
      </c>
      <c r="D135">
        <f t="shared" si="6"/>
        <v>3.5012387912073404E-4</v>
      </c>
      <c r="E135">
        <f t="shared" si="7"/>
        <v>2.064968474779159</v>
      </c>
      <c r="F135" s="23">
        <f t="shared" si="0"/>
        <v>4.2364989373608818E-4</v>
      </c>
      <c r="G135">
        <f t="shared" si="8"/>
        <v>99.999649876120884</v>
      </c>
      <c r="H135">
        <f t="shared" si="9"/>
        <v>999.99649876120884</v>
      </c>
      <c r="J135">
        <f t="shared" si="1"/>
        <v>10.02061467235988</v>
      </c>
      <c r="K135">
        <f t="shared" si="2"/>
        <v>8.3505122269665666</v>
      </c>
      <c r="L135">
        <f t="shared" si="3"/>
        <v>0.20607203672595203</v>
      </c>
    </row>
    <row r="136" spans="2:12">
      <c r="B136">
        <f t="shared" si="4"/>
        <v>2.3225154419887869E-2</v>
      </c>
      <c r="C136">
        <f t="shared" si="5"/>
        <v>1.1612577209943934E-2</v>
      </c>
      <c r="D136">
        <f t="shared" si="6"/>
        <v>4.2364989373608818E-4</v>
      </c>
      <c r="E136">
        <f t="shared" si="7"/>
        <v>3.0233203439241665</v>
      </c>
      <c r="F136" s="23">
        <f t="shared" si="0"/>
        <v>5.1261637142066693E-4</v>
      </c>
      <c r="G136">
        <f t="shared" si="8"/>
        <v>99.999576350106267</v>
      </c>
      <c r="H136">
        <f t="shared" si="9"/>
        <v>999.9957635010627</v>
      </c>
      <c r="J136">
        <f t="shared" si="1"/>
        <v>10.030190838449869</v>
      </c>
      <c r="K136">
        <f t="shared" si="2"/>
        <v>8.3584923653748913</v>
      </c>
      <c r="L136">
        <f t="shared" si="3"/>
        <v>0.30142201605322699</v>
      </c>
    </row>
    <row r="137" spans="2:12">
      <c r="B137">
        <f t="shared" si="4"/>
        <v>2.5547669861876659E-2</v>
      </c>
      <c r="C137">
        <f t="shared" si="5"/>
        <v>1.2773834930938329E-2</v>
      </c>
      <c r="D137">
        <f t="shared" si="6"/>
        <v>5.1261637142066693E-4</v>
      </c>
      <c r="E137">
        <f t="shared" si="7"/>
        <v>4.4264433155393759</v>
      </c>
      <c r="F137" s="23">
        <f t="shared" si="0"/>
        <v>6.2026580941900702E-4</v>
      </c>
      <c r="G137">
        <f t="shared" si="8"/>
        <v>99.999487383628576</v>
      </c>
      <c r="H137">
        <f t="shared" si="9"/>
        <v>999.99487383628571</v>
      </c>
      <c r="J137">
        <f t="shared" si="1"/>
        <v>10.044213171518251</v>
      </c>
      <c r="K137">
        <f t="shared" si="2"/>
        <v>8.3701776429318766</v>
      </c>
      <c r="L137">
        <f t="shared" si="3"/>
        <v>0.44069587532163945</v>
      </c>
    </row>
    <row r="138" spans="2:12">
      <c r="B138">
        <f t="shared" si="4"/>
        <v>2.8102436848064329E-2</v>
      </c>
      <c r="C138">
        <f t="shared" si="5"/>
        <v>1.4051218424032164E-2</v>
      </c>
      <c r="D138">
        <f t="shared" si="6"/>
        <v>6.2026580941900702E-4</v>
      </c>
      <c r="E138">
        <f t="shared" si="7"/>
        <v>6.4807556582812023</v>
      </c>
      <c r="F138" s="23">
        <f t="shared" si="0"/>
        <v>7.5052162939699858E-4</v>
      </c>
      <c r="G138">
        <f t="shared" si="8"/>
        <v>99.999379734190583</v>
      </c>
      <c r="H138">
        <f t="shared" si="9"/>
        <v>999.99379734190586</v>
      </c>
      <c r="J138">
        <f t="shared" si="1"/>
        <v>10.06474553000187</v>
      </c>
      <c r="K138">
        <f t="shared" si="2"/>
        <v>8.3872879416682249</v>
      </c>
      <c r="L138">
        <f t="shared" si="3"/>
        <v>0.64390655868673485</v>
      </c>
    </row>
    <row r="139" spans="2:12">
      <c r="B139">
        <f t="shared" si="4"/>
        <v>3.0912680532870763E-2</v>
      </c>
      <c r="C139">
        <f t="shared" si="5"/>
        <v>1.5456340266435381E-2</v>
      </c>
      <c r="D139">
        <f t="shared" si="6"/>
        <v>7.5052162939699858E-4</v>
      </c>
      <c r="E139">
        <f t="shared" si="7"/>
        <v>9.4884743592895102</v>
      </c>
      <c r="F139" s="23">
        <f t="shared" si="0"/>
        <v>9.0813117157036865E-4</v>
      </c>
      <c r="G139">
        <f t="shared" si="8"/>
        <v>99.999249478370601</v>
      </c>
      <c r="H139">
        <f t="shared" si="9"/>
        <v>999.99249478370598</v>
      </c>
      <c r="J139">
        <f t="shared" si="1"/>
        <v>10.094809691429955</v>
      </c>
      <c r="K139">
        <f t="shared" si="2"/>
        <v>8.4123414095249629</v>
      </c>
      <c r="L139">
        <f t="shared" si="3"/>
        <v>0.93993593235787332</v>
      </c>
    </row>
    <row r="140" spans="2:12">
      <c r="B140">
        <f t="shared" si="4"/>
        <v>3.4003948586157844E-2</v>
      </c>
      <c r="C140">
        <f t="shared" si="5"/>
        <v>1.7001974293078922E-2</v>
      </c>
      <c r="D140">
        <f t="shared" si="6"/>
        <v>9.0813117157036865E-4</v>
      </c>
      <c r="E140">
        <f t="shared" si="7"/>
        <v>13.892075309435779</v>
      </c>
      <c r="F140" s="23">
        <f t="shared" si="0"/>
        <v>1.0988387176001464E-3</v>
      </c>
      <c r="G140">
        <f t="shared" si="8"/>
        <v>99.99909186882843</v>
      </c>
      <c r="H140">
        <f t="shared" si="9"/>
        <v>999.9909186882843</v>
      </c>
      <c r="J140">
        <f t="shared" si="1"/>
        <v>10.138829939977201</v>
      </c>
      <c r="K140">
        <f t="shared" si="2"/>
        <v>8.449024949981002</v>
      </c>
      <c r="L140">
        <f t="shared" si="3"/>
        <v>1.3701852572415292</v>
      </c>
    </row>
    <row r="141" spans="2:12">
      <c r="B141">
        <f t="shared" si="4"/>
        <v>3.7404343444773634E-2</v>
      </c>
      <c r="C141">
        <f t="shared" si="5"/>
        <v>1.8702171722386817E-2</v>
      </c>
      <c r="D141">
        <f t="shared" si="6"/>
        <v>1.0988387176001464E-3</v>
      </c>
      <c r="E141">
        <f t="shared" si="7"/>
        <v>20.339387460544938</v>
      </c>
      <c r="F141" s="23">
        <f t="shared" si="0"/>
        <v>1.3295948482961771E-3</v>
      </c>
      <c r="G141">
        <f t="shared" si="8"/>
        <v>99.998901161282404</v>
      </c>
      <c r="H141">
        <f t="shared" si="9"/>
        <v>999.98901161282402</v>
      </c>
      <c r="J141">
        <f t="shared" si="1"/>
        <v>10.20328399073369</v>
      </c>
      <c r="K141">
        <f t="shared" si="2"/>
        <v>8.5027366589447411</v>
      </c>
      <c r="L141">
        <f t="shared" si="3"/>
        <v>1.9934157942694282</v>
      </c>
    </row>
    <row r="142" spans="2:12">
      <c r="B142">
        <f t="shared" si="4"/>
        <v>4.1144777789250998E-2</v>
      </c>
      <c r="C142">
        <f t="shared" si="5"/>
        <v>2.0572388894625499E-2</v>
      </c>
      <c r="D142">
        <f t="shared" si="6"/>
        <v>1.3295948482961771E-3</v>
      </c>
      <c r="E142">
        <f t="shared" si="7"/>
        <v>29.778897180983844</v>
      </c>
      <c r="F142" s="23">
        <f t="shared" si="0"/>
        <v>1.6088097664383745E-3</v>
      </c>
      <c r="G142">
        <f t="shared" si="8"/>
        <v>99.998670405151699</v>
      </c>
      <c r="H142">
        <f t="shared" si="9"/>
        <v>999.98670405151699</v>
      </c>
      <c r="J142">
        <f t="shared" si="1"/>
        <v>10.297656012325008</v>
      </c>
      <c r="K142">
        <f t="shared" si="2"/>
        <v>8.5813800102708413</v>
      </c>
      <c r="L142">
        <f t="shared" si="3"/>
        <v>2.8918131607175672</v>
      </c>
    </row>
    <row r="143" spans="2:12">
      <c r="B143">
        <f t="shared" si="4"/>
        <v>4.5259255568176102E-2</v>
      </c>
      <c r="C143">
        <f t="shared" si="5"/>
        <v>2.2629627784088051E-2</v>
      </c>
      <c r="D143">
        <f t="shared" si="6"/>
        <v>1.6088097664383745E-3</v>
      </c>
      <c r="E143">
        <f t="shared" si="7"/>
        <v>43.599283362678449</v>
      </c>
      <c r="F143" s="23">
        <f t="shared" si="0"/>
        <v>1.9466598173904332E-3</v>
      </c>
      <c r="G143">
        <f t="shared" si="8"/>
        <v>99.998391190233562</v>
      </c>
      <c r="H143">
        <f t="shared" si="9"/>
        <v>999.98391190233565</v>
      </c>
      <c r="J143">
        <f t="shared" si="1"/>
        <v>10.435831952650142</v>
      </c>
      <c r="K143">
        <f t="shared" si="2"/>
        <v>8.6965266272084527</v>
      </c>
      <c r="L143">
        <f t="shared" si="3"/>
        <v>4.1778445226503065</v>
      </c>
    </row>
    <row r="144" spans="2:12">
      <c r="B144">
        <f t="shared" si="4"/>
        <v>4.9785181124993715E-2</v>
      </c>
      <c r="C144">
        <f t="shared" si="5"/>
        <v>2.4892590562496857E-2</v>
      </c>
      <c r="D144">
        <f t="shared" si="6"/>
        <v>1.9466598173904332E-3</v>
      </c>
      <c r="E144">
        <f t="shared" si="7"/>
        <v>63.833710771297547</v>
      </c>
      <c r="F144" s="23">
        <f t="shared" si="0"/>
        <v>2.355458379042425E-3</v>
      </c>
      <c r="G144">
        <f t="shared" si="8"/>
        <v>99.998053340182608</v>
      </c>
      <c r="H144">
        <f t="shared" si="9"/>
        <v>999.98053340182605</v>
      </c>
      <c r="J144">
        <f t="shared" si="1"/>
        <v>10.638142441731237</v>
      </c>
      <c r="K144">
        <f t="shared" si="2"/>
        <v>8.8651187014426984</v>
      </c>
      <c r="L144">
        <f t="shared" si="3"/>
        <v>6.0004564820349726</v>
      </c>
    </row>
    <row r="145" spans="2:12">
      <c r="B145">
        <f t="shared" si="4"/>
        <v>5.4763699237493094E-2</v>
      </c>
      <c r="C145">
        <f t="shared" si="5"/>
        <v>2.7381849618746547E-2</v>
      </c>
      <c r="D145">
        <f t="shared" si="6"/>
        <v>2.355458379042425E-3</v>
      </c>
      <c r="E145">
        <f t="shared" si="7"/>
        <v>93.458935940256794</v>
      </c>
      <c r="F145" s="23">
        <f t="shared" si="0"/>
        <v>2.8501046386413347E-3</v>
      </c>
      <c r="G145">
        <f t="shared" si="8"/>
        <v>99.997644541620957</v>
      </c>
      <c r="H145">
        <f t="shared" si="9"/>
        <v>999.97644541620957</v>
      </c>
      <c r="J145">
        <f t="shared" si="1"/>
        <v>10.934353813564664</v>
      </c>
      <c r="K145">
        <f t="shared" si="2"/>
        <v>9.1119615113038872</v>
      </c>
      <c r="L145">
        <f t="shared" si="3"/>
        <v>8.5472756354669865</v>
      </c>
    </row>
    <row r="146" spans="2:12">
      <c r="B146">
        <f t="shared" si="4"/>
        <v>6.0240069161242409E-2</v>
      </c>
      <c r="C146">
        <f t="shared" si="5"/>
        <v>3.0120034580621204E-2</v>
      </c>
      <c r="D146">
        <f t="shared" si="6"/>
        <v>2.8501046386413347E-3</v>
      </c>
      <c r="E146">
        <f t="shared" si="7"/>
        <v>136.83322811013002</v>
      </c>
      <c r="F146" s="23">
        <f t="shared" si="0"/>
        <v>3.4486266127560163E-3</v>
      </c>
      <c r="G146">
        <f t="shared" si="8"/>
        <v>99.99714989536136</v>
      </c>
      <c r="H146">
        <f t="shared" si="9"/>
        <v>999.9714989536136</v>
      </c>
      <c r="J146">
        <f t="shared" si="1"/>
        <v>11.368047270637437</v>
      </c>
      <c r="K146">
        <f t="shared" si="2"/>
        <v>9.4733727255311972</v>
      </c>
      <c r="L146">
        <f t="shared" si="3"/>
        <v>12.036651929092253</v>
      </c>
    </row>
    <row r="147" spans="2:12">
      <c r="B147">
        <f t="shared" si="4"/>
        <v>6.626407607736666E-2</v>
      </c>
      <c r="C147">
        <f t="shared" si="5"/>
        <v>3.313203803868333E-2</v>
      </c>
      <c r="D147">
        <f t="shared" si="6"/>
        <v>3.4486266127560163E-3</v>
      </c>
      <c r="E147">
        <f t="shared" si="7"/>
        <v>200.33752927604152</v>
      </c>
      <c r="F147" s="23">
        <f t="shared" si="0"/>
        <v>4.1728382014347793E-3</v>
      </c>
      <c r="G147">
        <f t="shared" si="8"/>
        <v>99.996551373387248</v>
      </c>
      <c r="H147">
        <f t="shared" si="9"/>
        <v>999.96551373387251</v>
      </c>
      <c r="J147">
        <f t="shared" si="1"/>
        <v>12.003030430099141</v>
      </c>
      <c r="K147">
        <f t="shared" si="2"/>
        <v>10.002525358415951</v>
      </c>
      <c r="L147">
        <f t="shared" si="3"/>
        <v>16.690579136887752</v>
      </c>
    </row>
    <row r="148" spans="2:12">
      <c r="B148">
        <f t="shared" si="4"/>
        <v>7.2890483685103327E-2</v>
      </c>
      <c r="C148">
        <f t="shared" si="5"/>
        <v>3.6445241842551664E-2</v>
      </c>
      <c r="D148">
        <f t="shared" si="6"/>
        <v>4.1728382014347793E-3</v>
      </c>
      <c r="E148">
        <f t="shared" si="7"/>
        <v>293.31417661305233</v>
      </c>
      <c r="F148" s="23">
        <f t="shared" si="0"/>
        <v>5.0491342237360846E-3</v>
      </c>
      <c r="G148">
        <f t="shared" si="8"/>
        <v>99.995827161798559</v>
      </c>
      <c r="H148">
        <f t="shared" si="9"/>
        <v>999.95827161798559</v>
      </c>
      <c r="J148">
        <f t="shared" si="1"/>
        <v>12.93272448231038</v>
      </c>
      <c r="K148">
        <f t="shared" si="2"/>
        <v>10.777270401925318</v>
      </c>
      <c r="L148">
        <f t="shared" si="3"/>
        <v>22.679998867543564</v>
      </c>
    </row>
    <row r="149" spans="2:12">
      <c r="B149">
        <f t="shared" si="4"/>
        <v>8.0179532053613667E-2</v>
      </c>
      <c r="C149">
        <f t="shared" si="5"/>
        <v>4.0089766026806833E-2</v>
      </c>
      <c r="D149">
        <f t="shared" si="6"/>
        <v>5.0491342237360846E-3</v>
      </c>
      <c r="E149">
        <f t="shared" si="7"/>
        <v>429.44128597917023</v>
      </c>
      <c r="F149" s="23">
        <f t="shared" si="0"/>
        <v>6.1094524107206628E-3</v>
      </c>
      <c r="G149">
        <f t="shared" si="8"/>
        <v>99.994950865776261</v>
      </c>
      <c r="H149">
        <f t="shared" si="9"/>
        <v>999.94950865776264</v>
      </c>
      <c r="J149">
        <f t="shared" si="1"/>
        <v>14.293907946369329</v>
      </c>
      <c r="K149">
        <f t="shared" si="2"/>
        <v>11.911589955307774</v>
      </c>
      <c r="L149">
        <f t="shared" si="3"/>
        <v>30.043658290681019</v>
      </c>
    </row>
    <row r="150" spans="2:12">
      <c r="B150">
        <f t="shared" si="4"/>
        <v>8.8197485258975042E-2</v>
      </c>
      <c r="C150">
        <f t="shared" si="5"/>
        <v>4.4098742629487521E-2</v>
      </c>
      <c r="D150">
        <f t="shared" si="6"/>
        <v>6.1094524107206628E-3</v>
      </c>
      <c r="E150">
        <f t="shared" si="7"/>
        <v>628.7449868021032</v>
      </c>
      <c r="F150" s="23">
        <f t="shared" si="0"/>
        <v>7.3924374169720029E-3</v>
      </c>
      <c r="G150">
        <f t="shared" si="8"/>
        <v>99.993890547589274</v>
      </c>
      <c r="H150">
        <f t="shared" si="9"/>
        <v>999.93890547589274</v>
      </c>
      <c r="J150">
        <f t="shared" si="1"/>
        <v>16.28683892277996</v>
      </c>
      <c r="K150">
        <f t="shared" si="2"/>
        <v>13.572365768983301</v>
      </c>
      <c r="L150">
        <f t="shared" si="3"/>
        <v>38.604482415718785</v>
      </c>
    </row>
    <row r="151" spans="2:12">
      <c r="B151">
        <f t="shared" si="4"/>
        <v>9.701723378487255E-2</v>
      </c>
      <c r="C151">
        <f t="shared" si="5"/>
        <v>4.8508616892436275E-2</v>
      </c>
      <c r="D151">
        <f t="shared" si="6"/>
        <v>7.3924374169720029E-3</v>
      </c>
      <c r="E151">
        <f t="shared" si="7"/>
        <v>920.54553517695933</v>
      </c>
      <c r="F151" s="23">
        <f t="shared" si="0"/>
        <v>8.944849274536126E-3</v>
      </c>
      <c r="G151">
        <f t="shared" si="8"/>
        <v>99.992607562583032</v>
      </c>
      <c r="H151">
        <f t="shared" si="9"/>
        <v>999.92607562583032</v>
      </c>
      <c r="J151">
        <f t="shared" si="1"/>
        <v>19.204716108027895</v>
      </c>
      <c r="K151">
        <f t="shared" si="2"/>
        <v>16.003930090023246</v>
      </c>
      <c r="L151">
        <f t="shared" si="3"/>
        <v>47.933306069135575</v>
      </c>
    </row>
    <row r="152" spans="2:12">
      <c r="B152">
        <f t="shared" si="4"/>
        <v>0.10671895716335981</v>
      </c>
      <c r="C152">
        <f t="shared" si="5"/>
        <v>5.3359478581679907E-2</v>
      </c>
      <c r="D152">
        <f t="shared" si="6"/>
        <v>8.944849274536126E-3</v>
      </c>
      <c r="E152">
        <f t="shared" si="7"/>
        <v>1347.7707180525872</v>
      </c>
      <c r="F152" s="23">
        <f t="shared" si="0"/>
        <v>1.0823267622188713E-2</v>
      </c>
      <c r="G152">
        <f t="shared" si="8"/>
        <v>99.991055150725458</v>
      </c>
      <c r="H152">
        <f t="shared" si="9"/>
        <v>999.91055150725458</v>
      </c>
      <c r="J152">
        <f t="shared" si="1"/>
        <v>23.476812695598419</v>
      </c>
      <c r="K152">
        <f t="shared" si="2"/>
        <v>19.56401057966535</v>
      </c>
      <c r="L152">
        <f t="shared" si="3"/>
        <v>57.408590149261443</v>
      </c>
    </row>
    <row r="153" spans="2:12">
      <c r="B153">
        <f t="shared" si="4"/>
        <v>0.11739085287969581</v>
      </c>
      <c r="C153">
        <f t="shared" si="5"/>
        <v>5.8695426439847903E-2</v>
      </c>
      <c r="D153">
        <f t="shared" si="6"/>
        <v>1.0823267622188713E-2</v>
      </c>
      <c r="E153">
        <f t="shared" si="7"/>
        <v>1973.2711083007928</v>
      </c>
      <c r="F153" s="23">
        <f t="shared" si="0"/>
        <v>1.3096153822848348E-2</v>
      </c>
      <c r="G153">
        <f t="shared" si="8"/>
        <v>99.989176732377814</v>
      </c>
      <c r="H153">
        <f t="shared" si="9"/>
        <v>999.89176732377814</v>
      </c>
      <c r="J153">
        <f t="shared" si="1"/>
        <v>29.731628756245708</v>
      </c>
      <c r="K153">
        <f t="shared" si="2"/>
        <v>24.776357296871424</v>
      </c>
      <c r="L153">
        <f t="shared" si="3"/>
        <v>66.369425115543606</v>
      </c>
    </row>
    <row r="154" spans="2:12">
      <c r="B154">
        <f t="shared" si="4"/>
        <v>0.12912993816766541</v>
      </c>
      <c r="C154">
        <f t="shared" si="5"/>
        <v>6.4564969083832704E-2</v>
      </c>
      <c r="D154">
        <f t="shared" si="6"/>
        <v>1.3096153822848348E-2</v>
      </c>
      <c r="E154">
        <f t="shared" si="7"/>
        <v>2889.0662296631931</v>
      </c>
      <c r="F154" s="23">
        <f t="shared" si="0"/>
        <v>1.5846346125646504E-2</v>
      </c>
      <c r="G154">
        <f t="shared" si="8"/>
        <v>99.986903846177157</v>
      </c>
      <c r="H154">
        <f t="shared" si="9"/>
        <v>999.86903846177154</v>
      </c>
      <c r="J154">
        <f t="shared" si="1"/>
        <v>38.889352681249648</v>
      </c>
      <c r="K154">
        <f t="shared" si="2"/>
        <v>32.407793901041373</v>
      </c>
      <c r="L154">
        <f t="shared" si="3"/>
        <v>74.289388495174038</v>
      </c>
    </row>
    <row r="155" spans="2:12">
      <c r="B155">
        <f t="shared" si="4"/>
        <v>0.14204293198443196</v>
      </c>
      <c r="C155">
        <f t="shared" si="5"/>
        <v>7.1021465992215982E-2</v>
      </c>
      <c r="D155">
        <f t="shared" si="6"/>
        <v>1.5846346125646504E-2</v>
      </c>
      <c r="E155">
        <f t="shared" si="7"/>
        <v>4229.8818668498825</v>
      </c>
      <c r="F155" s="23">
        <f t="shared" si="0"/>
        <v>1.9174078812032275E-2</v>
      </c>
      <c r="G155">
        <f t="shared" si="8"/>
        <v>99.984153653874358</v>
      </c>
      <c r="H155">
        <f t="shared" si="9"/>
        <v>999.84153653874364</v>
      </c>
      <c r="J155">
        <f t="shared" si="1"/>
        <v>52.297234033886262</v>
      </c>
      <c r="K155">
        <f t="shared" si="2"/>
        <v>43.581028361571889</v>
      </c>
      <c r="L155">
        <f t="shared" si="3"/>
        <v>80.881559894909714</v>
      </c>
    </row>
    <row r="156" spans="2:12">
      <c r="B156">
        <f t="shared" si="4"/>
        <v>0.15624722518287518</v>
      </c>
      <c r="C156">
        <f t="shared" si="5"/>
        <v>7.8123612591437588E-2</v>
      </c>
      <c r="D156">
        <f t="shared" si="6"/>
        <v>1.9174078812032275E-2</v>
      </c>
      <c r="E156">
        <f t="shared" si="7"/>
        <v>6192.9700412549164</v>
      </c>
      <c r="F156" s="23">
        <f t="shared" si="0"/>
        <v>2.3200635362559056E-2</v>
      </c>
      <c r="G156">
        <f t="shared" si="8"/>
        <v>99.980825921187972</v>
      </c>
      <c r="H156">
        <f t="shared" si="9"/>
        <v>999.80825921187966</v>
      </c>
      <c r="J156">
        <f t="shared" si="1"/>
        <v>71.927783004667958</v>
      </c>
      <c r="K156">
        <f t="shared" si="2"/>
        <v>59.939819170556632</v>
      </c>
      <c r="L156">
        <f t="shared" si="3"/>
        <v>86.099832117069496</v>
      </c>
    </row>
    <row r="157" spans="2:12">
      <c r="B157">
        <f t="shared" si="4"/>
        <v>0.17187194770116271</v>
      </c>
      <c r="C157">
        <f t="shared" si="5"/>
        <v>8.5935973850581354E-2</v>
      </c>
      <c r="D157">
        <f t="shared" si="6"/>
        <v>2.3200635362559056E-2</v>
      </c>
      <c r="E157">
        <f t="shared" si="7"/>
        <v>9067.1274374013246</v>
      </c>
      <c r="F157" s="23">
        <f t="shared" si="0"/>
        <v>2.8072768788696467E-2</v>
      </c>
      <c r="G157">
        <f t="shared" si="8"/>
        <v>99.976799364637444</v>
      </c>
      <c r="H157">
        <f t="shared" si="9"/>
        <v>999.76799364637441</v>
      </c>
      <c r="J157">
        <f t="shared" si="1"/>
        <v>100.66895431047698</v>
      </c>
      <c r="K157">
        <f t="shared" si="2"/>
        <v>83.890795258730819</v>
      </c>
      <c r="L157">
        <f t="shared" si="3"/>
        <v>90.068755551359445</v>
      </c>
    </row>
    <row r="158" spans="2:12">
      <c r="B158">
        <f t="shared" si="4"/>
        <v>0.189059142471279</v>
      </c>
      <c r="C158">
        <f t="shared" si="5"/>
        <v>9.4529571235639501E-2</v>
      </c>
      <c r="D158">
        <f t="shared" si="6"/>
        <v>2.8072768788696467E-2</v>
      </c>
      <c r="E158">
        <f t="shared" si="7"/>
        <v>13275.181281099289</v>
      </c>
      <c r="F158" s="23">
        <f t="shared" si="0"/>
        <v>3.3968050234322728E-2</v>
      </c>
      <c r="G158">
        <f t="shared" si="8"/>
        <v>99.971927231211311</v>
      </c>
      <c r="H158">
        <f t="shared" si="9"/>
        <v>999.71927231211316</v>
      </c>
      <c r="J158">
        <f t="shared" si="1"/>
        <v>142.74900553411402</v>
      </c>
      <c r="K158">
        <f t="shared" si="2"/>
        <v>118.95750461176169</v>
      </c>
      <c r="L158">
        <f t="shared" si="3"/>
        <v>92.99666383964265</v>
      </c>
    </row>
    <row r="159" spans="2:12">
      <c r="B159">
        <f t="shared" si="4"/>
        <v>0.20796505671840693</v>
      </c>
      <c r="C159">
        <f t="shared" si="5"/>
        <v>0.10398252835920346</v>
      </c>
      <c r="D159">
        <f t="shared" si="6"/>
        <v>3.3968050234322728E-2</v>
      </c>
      <c r="E159">
        <f t="shared" si="7"/>
        <v>19436.192913657476</v>
      </c>
      <c r="F159" s="23">
        <f t="shared" si="0"/>
        <v>4.1101340783530511E-2</v>
      </c>
      <c r="G159">
        <f t="shared" si="8"/>
        <v>99.966031949765679</v>
      </c>
      <c r="H159">
        <f t="shared" si="9"/>
        <v>999.66031949765681</v>
      </c>
      <c r="J159">
        <f t="shared" si="1"/>
        <v>204.35853233155132</v>
      </c>
      <c r="K159">
        <f t="shared" si="2"/>
        <v>170.29877694295945</v>
      </c>
      <c r="L159">
        <f t="shared" si="3"/>
        <v>95.108301532153277</v>
      </c>
    </row>
    <row r="160" spans="2:12">
      <c r="B160">
        <f t="shared" si="4"/>
        <v>0.22876156239024764</v>
      </c>
      <c r="C160">
        <f t="shared" si="5"/>
        <v>0.11438078119512382</v>
      </c>
      <c r="D160">
        <f t="shared" si="6"/>
        <v>4.1101340783530511E-2</v>
      </c>
      <c r="E160">
        <f t="shared" si="7"/>
        <v>28456.53004488592</v>
      </c>
      <c r="F160" s="23">
        <f t="shared" si="0"/>
        <v>4.9732622348071923E-2</v>
      </c>
      <c r="G160">
        <f t="shared" si="8"/>
        <v>99.958898659216473</v>
      </c>
      <c r="H160">
        <f t="shared" si="9"/>
        <v>999.5889865921647</v>
      </c>
      <c r="J160">
        <f t="shared" si="1"/>
        <v>294.56119031478084</v>
      </c>
      <c r="K160">
        <f t="shared" si="2"/>
        <v>245.4676585956507</v>
      </c>
      <c r="L160">
        <f t="shared" si="3"/>
        <v>96.606514980727908</v>
      </c>
    </row>
    <row r="161" spans="2:12">
      <c r="B161">
        <f t="shared" si="4"/>
        <v>0.25163771862927242</v>
      </c>
      <c r="C161">
        <f t="shared" si="5"/>
        <v>0.12581885931463621</v>
      </c>
      <c r="D161">
        <f t="shared" si="6"/>
        <v>4.9732622348071923E-2</v>
      </c>
      <c r="E161">
        <f t="shared" si="7"/>
        <v>41663.205638717482</v>
      </c>
      <c r="F161" s="23">
        <f t="shared" si="0"/>
        <v>6.017647304116705E-2</v>
      </c>
      <c r="G161">
        <f t="shared" si="8"/>
        <v>99.950267377651926</v>
      </c>
      <c r="H161">
        <f t="shared" si="9"/>
        <v>999.50267377651926</v>
      </c>
      <c r="J161">
        <f t="shared" si="1"/>
        <v>426.62708312494004</v>
      </c>
      <c r="K161">
        <f t="shared" si="2"/>
        <v>355.52256927078338</v>
      </c>
      <c r="L161">
        <f t="shared" si="3"/>
        <v>97.657198257420958</v>
      </c>
    </row>
    <row r="162" spans="2:12">
      <c r="B162">
        <f t="shared" si="4"/>
        <v>0.27680149049219971</v>
      </c>
      <c r="C162">
        <f t="shared" si="5"/>
        <v>0.13840074524609985</v>
      </c>
      <c r="D162">
        <f t="shared" si="6"/>
        <v>6.017647304116705E-2</v>
      </c>
      <c r="E162">
        <f t="shared" si="7"/>
        <v>60999.099375646307</v>
      </c>
      <c r="F162" s="23">
        <f t="shared" si="0"/>
        <v>7.281353237981214E-2</v>
      </c>
      <c r="G162">
        <f t="shared" si="8"/>
        <v>99.939823526958833</v>
      </c>
      <c r="H162">
        <f t="shared" si="9"/>
        <v>999.39823526958833</v>
      </c>
      <c r="J162">
        <f t="shared" si="1"/>
        <v>619.98497610915899</v>
      </c>
      <c r="K162">
        <f t="shared" si="2"/>
        <v>516.65414675763247</v>
      </c>
      <c r="L162">
        <f t="shared" si="3"/>
        <v>98.388028301038005</v>
      </c>
    </row>
    <row r="163" spans="2:12">
      <c r="B163">
        <f t="shared" si="4"/>
        <v>0.30448163954141971</v>
      </c>
      <c r="C163">
        <f t="shared" si="5"/>
        <v>0.15224081977070986</v>
      </c>
      <c r="D163">
        <f t="shared" si="6"/>
        <v>7.281353237981214E-2</v>
      </c>
      <c r="E163">
        <f t="shared" si="7"/>
        <v>89308.781395883809</v>
      </c>
      <c r="F163" s="23">
        <f t="shared" si="0"/>
        <v>8.8104374179572717E-2</v>
      </c>
      <c r="G163">
        <f t="shared" si="8"/>
        <v>99.927186467620189</v>
      </c>
      <c r="H163">
        <f t="shared" si="9"/>
        <v>999.27186467620186</v>
      </c>
      <c r="J163">
        <f t="shared" si="1"/>
        <v>903.08053260560018</v>
      </c>
      <c r="K163">
        <f t="shared" si="2"/>
        <v>752.56711050466686</v>
      </c>
      <c r="L163">
        <f t="shared" si="3"/>
        <v>98.893485322075236</v>
      </c>
    </row>
    <row r="164" spans="2:12">
      <c r="B164">
        <f t="shared" si="4"/>
        <v>0.33492980349556173</v>
      </c>
      <c r="C164">
        <f t="shared" si="5"/>
        <v>0.16746490174778086</v>
      </c>
      <c r="D164">
        <f t="shared" si="6"/>
        <v>8.8104374179572717E-2</v>
      </c>
      <c r="E164">
        <f t="shared" si="7"/>
        <v>130756.98684171356</v>
      </c>
      <c r="F164" s="23">
        <f t="shared" si="0"/>
        <v>0.10660629275728302</v>
      </c>
      <c r="G164">
        <f t="shared" si="8"/>
        <v>99.911895625820421</v>
      </c>
      <c r="H164">
        <f t="shared" si="9"/>
        <v>999.11895625820421</v>
      </c>
      <c r="J164">
        <f t="shared" si="1"/>
        <v>1317.5610579797178</v>
      </c>
      <c r="K164">
        <f t="shared" si="2"/>
        <v>1097.9675483164315</v>
      </c>
      <c r="L164">
        <f t="shared" si="3"/>
        <v>99.241690584123504</v>
      </c>
    </row>
    <row r="165" spans="2:12">
      <c r="B165">
        <f t="shared" si="4"/>
        <v>0.36842278384511795</v>
      </c>
      <c r="C165">
        <f t="shared" si="5"/>
        <v>0.18421139192255898</v>
      </c>
      <c r="D165">
        <f t="shared" si="6"/>
        <v>0.10660629275728302</v>
      </c>
      <c r="E165">
        <f t="shared" si="7"/>
        <v>191441.30443495291</v>
      </c>
      <c r="F165" s="23">
        <f t="shared" si="0"/>
        <v>0.12899361423631245</v>
      </c>
      <c r="G165">
        <f t="shared" si="8"/>
        <v>99.893393707242723</v>
      </c>
      <c r="H165">
        <f t="shared" si="9"/>
        <v>998.93393707242717</v>
      </c>
      <c r="J165">
        <f t="shared" si="1"/>
        <v>1924.4023837202535</v>
      </c>
      <c r="K165">
        <f t="shared" si="2"/>
        <v>1603.6686531002113</v>
      </c>
      <c r="L165">
        <f t="shared" si="3"/>
        <v>99.480912128605198</v>
      </c>
    </row>
    <row r="166" spans="2:12">
      <c r="B166">
        <f t="shared" si="4"/>
        <v>0.40526506222962977</v>
      </c>
      <c r="C166">
        <f t="shared" si="5"/>
        <v>0.20263253111481488</v>
      </c>
      <c r="D166">
        <f t="shared" si="6"/>
        <v>0.12899361423631245</v>
      </c>
      <c r="E166">
        <f t="shared" si="7"/>
        <v>280289.21382321458</v>
      </c>
      <c r="F166" s="23">
        <f t="shared" si="0"/>
        <v>0.1560822732259381</v>
      </c>
      <c r="G166">
        <f t="shared" si="8"/>
        <v>99.871006385763692</v>
      </c>
      <c r="H166">
        <f t="shared" si="9"/>
        <v>998.7100638576369</v>
      </c>
      <c r="J166">
        <f t="shared" si="1"/>
        <v>2812.879238870722</v>
      </c>
      <c r="K166">
        <f t="shared" si="2"/>
        <v>2344.0660323922684</v>
      </c>
      <c r="L166">
        <f t="shared" si="3"/>
        <v>99.644950963391324</v>
      </c>
    </row>
    <row r="167" spans="2:12">
      <c r="B167">
        <f t="shared" si="4"/>
        <v>0.44579156845259277</v>
      </c>
      <c r="C167">
        <f t="shared" si="5"/>
        <v>0.22289578422629638</v>
      </c>
      <c r="D167">
        <f t="shared" si="6"/>
        <v>0.1560822732259381</v>
      </c>
      <c r="E167">
        <f t="shared" si="7"/>
        <v>410371.43795856863</v>
      </c>
      <c r="F167" s="23">
        <f t="shared" si="0"/>
        <v>0.18885955060338513</v>
      </c>
      <c r="G167">
        <f t="shared" si="8"/>
        <v>99.843917726774066</v>
      </c>
      <c r="H167">
        <f t="shared" si="9"/>
        <v>998.43917726774066</v>
      </c>
      <c r="J167">
        <f t="shared" si="1"/>
        <v>4113.698771358363</v>
      </c>
      <c r="K167">
        <f t="shared" si="2"/>
        <v>3428.0823094653028</v>
      </c>
      <c r="L167">
        <f t="shared" si="3"/>
        <v>99.757289186019321</v>
      </c>
    </row>
    <row r="168" spans="2:12">
      <c r="B168">
        <f t="shared" si="4"/>
        <v>0.49037072529785208</v>
      </c>
      <c r="C168">
        <f t="shared" si="5"/>
        <v>0.24518536264892604</v>
      </c>
      <c r="D168">
        <f t="shared" si="6"/>
        <v>0.18885955060338513</v>
      </c>
      <c r="E168">
        <f t="shared" si="7"/>
        <v>600824.82231514051</v>
      </c>
      <c r="F168" s="23">
        <f t="shared" ref="F168:F200" si="10">(B168*1.1/2)^2*PI()</f>
        <v>0.22852005623009608</v>
      </c>
      <c r="G168">
        <f t="shared" si="8"/>
        <v>99.811140449396618</v>
      </c>
      <c r="H168">
        <f t="shared" si="9"/>
        <v>998.11140449396612</v>
      </c>
      <c r="J168">
        <f t="shared" ref="J168:J231" si="11">(E168+H168)/(G168+D168)</f>
        <v>6018.2293371963442</v>
      </c>
      <c r="K168">
        <f t="shared" ref="K168:K231" si="12">($B$73/($B$73+$B$74))*J168</f>
        <v>5015.1911143302868</v>
      </c>
      <c r="L168">
        <f t="shared" ref="L168:L231" si="13">E168/(H168+E168)*100</f>
        <v>99.834151982490098</v>
      </c>
    </row>
    <row r="169" spans="2:12">
      <c r="B169">
        <f t="shared" ref="B169:B232" si="14">IF(F168&lt;$B$72, B168*1.1, B168)</f>
        <v>0.53940779782763737</v>
      </c>
      <c r="C169">
        <f t="shared" ref="C169:C232" si="15">B169/2</f>
        <v>0.26970389891381868</v>
      </c>
      <c r="D169">
        <f t="shared" ref="D169:D232" si="16">C169*C169*PI()</f>
        <v>0.22852005623009608</v>
      </c>
      <c r="E169">
        <f t="shared" ref="E169:E232" si="17">(1*980*PI()*(C169^4)*($B$73+$B$74)*3600*100)/(8*$B$73*1)</f>
        <v>879667.62235159765</v>
      </c>
      <c r="F169" s="23">
        <f t="shared" si="10"/>
        <v>0.2765092680384163</v>
      </c>
      <c r="G169">
        <f t="shared" ref="G169:G232" si="18">$B$72-D169</f>
        <v>99.771479943769904</v>
      </c>
      <c r="H169">
        <f t="shared" ref="H169:H232" si="19">-(-$B$71/$B$72*G169)</f>
        <v>997.71479943769907</v>
      </c>
      <c r="J169">
        <f t="shared" si="11"/>
        <v>8806.6533715103524</v>
      </c>
      <c r="K169">
        <f t="shared" si="12"/>
        <v>7338.8778095919606</v>
      </c>
      <c r="L169">
        <f t="shared" si="13"/>
        <v>99.886708973619278</v>
      </c>
    </row>
    <row r="170" spans="2:12">
      <c r="B170">
        <f t="shared" si="14"/>
        <v>0.59334857761040116</v>
      </c>
      <c r="C170">
        <f t="shared" si="15"/>
        <v>0.29667428880520058</v>
      </c>
      <c r="D170">
        <f t="shared" si="16"/>
        <v>0.2765092680384163</v>
      </c>
      <c r="E170">
        <f t="shared" si="17"/>
        <v>1287921.3658849748</v>
      </c>
      <c r="F170" s="23">
        <f t="shared" si="10"/>
        <v>0.33457621432648377</v>
      </c>
      <c r="G170">
        <f t="shared" si="18"/>
        <v>99.72349073196159</v>
      </c>
      <c r="H170">
        <f t="shared" si="19"/>
        <v>997.2349073196159</v>
      </c>
      <c r="J170">
        <f t="shared" si="11"/>
        <v>12889.186007922945</v>
      </c>
      <c r="K170">
        <f t="shared" si="12"/>
        <v>10740.988339935788</v>
      </c>
      <c r="L170">
        <f t="shared" si="13"/>
        <v>99.922630109713168</v>
      </c>
    </row>
    <row r="171" spans="2:12">
      <c r="B171">
        <f t="shared" si="14"/>
        <v>0.65268343537144136</v>
      </c>
      <c r="C171">
        <f t="shared" si="15"/>
        <v>0.32634171768572068</v>
      </c>
      <c r="D171">
        <f t="shared" si="16"/>
        <v>0.33457621432648377</v>
      </c>
      <c r="E171">
        <f t="shared" si="17"/>
        <v>1885645.6717921922</v>
      </c>
      <c r="F171" s="23">
        <f t="shared" si="10"/>
        <v>0.40483721933504541</v>
      </c>
      <c r="G171">
        <f t="shared" si="18"/>
        <v>99.665423785673511</v>
      </c>
      <c r="H171">
        <f t="shared" si="19"/>
        <v>996.65423785673511</v>
      </c>
      <c r="J171">
        <f t="shared" si="11"/>
        <v>18866.423260300489</v>
      </c>
      <c r="K171">
        <f t="shared" si="12"/>
        <v>15722.019383583742</v>
      </c>
      <c r="L171">
        <f t="shared" si="13"/>
        <v>99.947173122106619</v>
      </c>
    </row>
    <row r="172" spans="2:12">
      <c r="B172">
        <f t="shared" si="14"/>
        <v>0.71795177890858553</v>
      </c>
      <c r="C172">
        <f t="shared" si="15"/>
        <v>0.35897588945429276</v>
      </c>
      <c r="D172">
        <f t="shared" si="16"/>
        <v>0.40483721933504541</v>
      </c>
      <c r="E172">
        <f t="shared" si="17"/>
        <v>2760773.8280709493</v>
      </c>
      <c r="F172" s="23">
        <f t="shared" si="10"/>
        <v>0.48985303539540509</v>
      </c>
      <c r="G172">
        <f t="shared" si="18"/>
        <v>99.59516278066495</v>
      </c>
      <c r="H172">
        <f t="shared" si="19"/>
        <v>995.95162780664953</v>
      </c>
      <c r="J172">
        <f t="shared" si="11"/>
        <v>27617.697796987559</v>
      </c>
      <c r="K172">
        <f t="shared" si="12"/>
        <v>23014.748164156299</v>
      </c>
      <c r="L172">
        <f t="shared" si="13"/>
        <v>99.963937919984218</v>
      </c>
    </row>
    <row r="173" spans="2:12">
      <c r="B173">
        <f t="shared" si="14"/>
        <v>0.78974695679944418</v>
      </c>
      <c r="C173">
        <f t="shared" si="15"/>
        <v>0.39487347839972209</v>
      </c>
      <c r="D173">
        <f t="shared" si="16"/>
        <v>0.48985303539540509</v>
      </c>
      <c r="E173">
        <f t="shared" si="17"/>
        <v>4042048.9616786782</v>
      </c>
      <c r="F173" s="23">
        <f t="shared" si="10"/>
        <v>0.59272217282844031</v>
      </c>
      <c r="G173">
        <f t="shared" si="18"/>
        <v>99.510146964604601</v>
      </c>
      <c r="H173">
        <f t="shared" si="19"/>
        <v>995.10146964604598</v>
      </c>
      <c r="J173">
        <f t="shared" si="11"/>
        <v>40430.440631483245</v>
      </c>
      <c r="K173">
        <f t="shared" si="12"/>
        <v>33692.033859569376</v>
      </c>
      <c r="L173">
        <f t="shared" si="13"/>
        <v>99.975387320689464</v>
      </c>
    </row>
    <row r="174" spans="2:12">
      <c r="B174">
        <f t="shared" si="14"/>
        <v>0.86872165247938871</v>
      </c>
      <c r="C174">
        <f t="shared" si="15"/>
        <v>0.43436082623969435</v>
      </c>
      <c r="D174">
        <f t="shared" si="16"/>
        <v>0.59272217282844031</v>
      </c>
      <c r="E174">
        <f t="shared" si="17"/>
        <v>5917963.8847937556</v>
      </c>
      <c r="F174" s="23">
        <f t="shared" si="10"/>
        <v>0.71719382912241292</v>
      </c>
      <c r="G174">
        <f t="shared" si="18"/>
        <v>99.407277827171555</v>
      </c>
      <c r="H174">
        <f t="shared" si="19"/>
        <v>994.07277827171561</v>
      </c>
      <c r="J174">
        <f t="shared" si="11"/>
        <v>59189.579575720272</v>
      </c>
      <c r="K174">
        <f t="shared" si="12"/>
        <v>49324.649646433565</v>
      </c>
      <c r="L174">
        <f t="shared" si="13"/>
        <v>99.983205273877644</v>
      </c>
    </row>
    <row r="175" spans="2:12">
      <c r="B175">
        <f t="shared" si="14"/>
        <v>0.95559381772732765</v>
      </c>
      <c r="C175">
        <f t="shared" si="15"/>
        <v>0.47779690886366383</v>
      </c>
      <c r="D175">
        <f t="shared" si="16"/>
        <v>0.71719382912241292</v>
      </c>
      <c r="E175">
        <f t="shared" si="17"/>
        <v>8664490.9237265419</v>
      </c>
      <c r="F175" s="23">
        <f t="shared" si="10"/>
        <v>0.86780453323811968</v>
      </c>
      <c r="G175">
        <f t="shared" si="18"/>
        <v>99.282806170877592</v>
      </c>
      <c r="H175">
        <f t="shared" si="19"/>
        <v>992.82806170877598</v>
      </c>
      <c r="J175">
        <f t="shared" si="11"/>
        <v>86654.837517882508</v>
      </c>
      <c r="K175">
        <f t="shared" si="12"/>
        <v>72212.364598235421</v>
      </c>
      <c r="L175">
        <f t="shared" si="13"/>
        <v>99.988542727790545</v>
      </c>
    </row>
    <row r="176" spans="2:12">
      <c r="B176">
        <f t="shared" si="14"/>
        <v>1.0511531995000605</v>
      </c>
      <c r="C176">
        <f t="shared" si="15"/>
        <v>0.52557659975003024</v>
      </c>
      <c r="D176">
        <f t="shared" si="16"/>
        <v>0.86780453323811968</v>
      </c>
      <c r="E176">
        <f t="shared" si="17"/>
        <v>12685681.161428032</v>
      </c>
      <c r="F176" s="23">
        <f t="shared" si="10"/>
        <v>1.0500434852181251</v>
      </c>
      <c r="G176">
        <f t="shared" si="18"/>
        <v>99.132195466761885</v>
      </c>
      <c r="H176">
        <f t="shared" si="19"/>
        <v>991.32195466761891</v>
      </c>
      <c r="J176">
        <f t="shared" si="11"/>
        <v>126866.724833827</v>
      </c>
      <c r="K176">
        <f t="shared" si="12"/>
        <v>105722.27069485583</v>
      </c>
      <c r="L176">
        <f t="shared" si="13"/>
        <v>99.99218611534296</v>
      </c>
    </row>
    <row r="177" spans="2:12">
      <c r="B177">
        <f t="shared" si="14"/>
        <v>1.1562685194500666</v>
      </c>
      <c r="C177">
        <f t="shared" si="15"/>
        <v>0.57813425972503329</v>
      </c>
      <c r="D177">
        <f t="shared" si="16"/>
        <v>1.0500434852181251</v>
      </c>
      <c r="E177">
        <f t="shared" si="17"/>
        <v>18573105.788446788</v>
      </c>
      <c r="F177" s="23">
        <f t="shared" si="10"/>
        <v>1.2705526171139314</v>
      </c>
      <c r="G177">
        <f t="shared" si="18"/>
        <v>98.949956514781874</v>
      </c>
      <c r="H177">
        <f t="shared" si="19"/>
        <v>989.49956514781877</v>
      </c>
      <c r="J177">
        <f t="shared" si="11"/>
        <v>185740.95288011935</v>
      </c>
      <c r="K177">
        <f t="shared" si="12"/>
        <v>154784.12740009947</v>
      </c>
      <c r="L177">
        <f t="shared" si="13"/>
        <v>99.994672690379787</v>
      </c>
    </row>
    <row r="178" spans="2:12">
      <c r="B178">
        <f t="shared" si="14"/>
        <v>1.2718953713950734</v>
      </c>
      <c r="C178">
        <f t="shared" si="15"/>
        <v>0.63594768569753668</v>
      </c>
      <c r="D178">
        <f t="shared" si="16"/>
        <v>1.2705526171139314</v>
      </c>
      <c r="E178">
        <f t="shared" si="17"/>
        <v>27192884.184864953</v>
      </c>
      <c r="F178" s="23">
        <f t="shared" si="10"/>
        <v>1.5373686667078574</v>
      </c>
      <c r="G178">
        <f t="shared" si="18"/>
        <v>98.729447382886065</v>
      </c>
      <c r="H178">
        <f t="shared" si="19"/>
        <v>987.29447382886065</v>
      </c>
      <c r="J178">
        <f t="shared" si="11"/>
        <v>271938.71479338786</v>
      </c>
      <c r="K178">
        <f t="shared" si="12"/>
        <v>226615.59566115655</v>
      </c>
      <c r="L178">
        <f t="shared" si="13"/>
        <v>99.996369422887881</v>
      </c>
    </row>
    <row r="179" spans="2:12">
      <c r="B179">
        <f t="shared" si="14"/>
        <v>1.3990849085345809</v>
      </c>
      <c r="C179">
        <f t="shared" si="15"/>
        <v>0.69954245426729045</v>
      </c>
      <c r="D179">
        <f t="shared" si="16"/>
        <v>1.5373686667078574</v>
      </c>
      <c r="E179">
        <f t="shared" si="17"/>
        <v>39813101.735060796</v>
      </c>
      <c r="F179" s="23">
        <f t="shared" si="10"/>
        <v>1.8602160867165081</v>
      </c>
      <c r="G179">
        <f t="shared" si="18"/>
        <v>98.462631333292137</v>
      </c>
      <c r="H179">
        <f t="shared" si="19"/>
        <v>984.62631333292143</v>
      </c>
      <c r="J179">
        <f t="shared" si="11"/>
        <v>398140.8636137413</v>
      </c>
      <c r="K179">
        <f t="shared" si="12"/>
        <v>331784.05301145109</v>
      </c>
      <c r="L179">
        <f t="shared" si="13"/>
        <v>99.997526939826272</v>
      </c>
    </row>
    <row r="180" spans="2:12">
      <c r="B180">
        <f t="shared" si="14"/>
        <v>1.5389933993880391</v>
      </c>
      <c r="C180">
        <f t="shared" si="15"/>
        <v>0.76949669969401957</v>
      </c>
      <c r="D180">
        <f t="shared" si="16"/>
        <v>1.8602160867165081</v>
      </c>
      <c r="E180">
        <f t="shared" si="17"/>
        <v>58290362.250302546</v>
      </c>
      <c r="F180" s="23">
        <f t="shared" si="10"/>
        <v>2.2508614649269747</v>
      </c>
      <c r="G180">
        <f t="shared" si="18"/>
        <v>98.139783913283495</v>
      </c>
      <c r="H180">
        <f t="shared" si="19"/>
        <v>981.39783913283497</v>
      </c>
      <c r="J180">
        <f t="shared" si="11"/>
        <v>582913.43648141681</v>
      </c>
      <c r="K180">
        <f t="shared" si="12"/>
        <v>485761.19706784736</v>
      </c>
      <c r="L180">
        <f t="shared" si="13"/>
        <v>99.998316391804138</v>
      </c>
    </row>
    <row r="181" spans="2:12">
      <c r="B181">
        <f t="shared" si="14"/>
        <v>1.6928927393268431</v>
      </c>
      <c r="C181">
        <f t="shared" si="15"/>
        <v>0.84644636966342157</v>
      </c>
      <c r="D181">
        <f t="shared" si="16"/>
        <v>2.2508614649269747</v>
      </c>
      <c r="E181">
        <f t="shared" si="17"/>
        <v>85342919.370667949</v>
      </c>
      <c r="F181" s="23">
        <f t="shared" si="10"/>
        <v>2.7235423725616403</v>
      </c>
      <c r="G181">
        <f t="shared" si="18"/>
        <v>97.74913853507303</v>
      </c>
      <c r="H181">
        <f t="shared" si="19"/>
        <v>977.4913853507303</v>
      </c>
      <c r="J181">
        <f t="shared" si="11"/>
        <v>853438.96862053301</v>
      </c>
      <c r="K181">
        <f t="shared" si="12"/>
        <v>711199.14051711082</v>
      </c>
      <c r="L181">
        <f t="shared" si="13"/>
        <v>99.998854644067947</v>
      </c>
    </row>
    <row r="182" spans="2:12">
      <c r="B182">
        <f t="shared" si="14"/>
        <v>1.8621820132595277</v>
      </c>
      <c r="C182">
        <f t="shared" si="15"/>
        <v>0.93109100662976385</v>
      </c>
      <c r="D182">
        <f t="shared" si="16"/>
        <v>2.7235423725616403</v>
      </c>
      <c r="E182">
        <f t="shared" si="17"/>
        <v>124950568.25059503</v>
      </c>
      <c r="F182" s="23">
        <f t="shared" si="10"/>
        <v>3.2954862707995849</v>
      </c>
      <c r="G182">
        <f t="shared" si="18"/>
        <v>97.276457627438361</v>
      </c>
      <c r="H182">
        <f t="shared" si="19"/>
        <v>972.76457627438367</v>
      </c>
      <c r="J182">
        <f t="shared" si="11"/>
        <v>1249515.4101517131</v>
      </c>
      <c r="K182">
        <f t="shared" si="12"/>
        <v>1041262.8417930943</v>
      </c>
      <c r="L182">
        <f t="shared" si="13"/>
        <v>99.999221486531212</v>
      </c>
    </row>
    <row r="183" spans="2:12">
      <c r="B183">
        <f t="shared" si="14"/>
        <v>2.0484002145854805</v>
      </c>
      <c r="C183">
        <f t="shared" si="15"/>
        <v>1.0242001072927402</v>
      </c>
      <c r="D183">
        <f t="shared" si="16"/>
        <v>3.2954862707995849</v>
      </c>
      <c r="E183">
        <f t="shared" si="17"/>
        <v>182940126.97569621</v>
      </c>
      <c r="F183" s="23">
        <f t="shared" si="10"/>
        <v>3.9875383876674979</v>
      </c>
      <c r="G183">
        <f t="shared" si="18"/>
        <v>96.704513729200414</v>
      </c>
      <c r="H183">
        <f t="shared" si="19"/>
        <v>967.04513729200414</v>
      </c>
      <c r="J183">
        <f t="shared" si="11"/>
        <v>1829410.9402083349</v>
      </c>
      <c r="K183">
        <f t="shared" si="12"/>
        <v>1524509.1168402792</v>
      </c>
      <c r="L183">
        <f t="shared" si="13"/>
        <v>99.999471389879645</v>
      </c>
    </row>
    <row r="184" spans="2:12">
      <c r="B184">
        <f t="shared" si="14"/>
        <v>2.2532402360440287</v>
      </c>
      <c r="C184">
        <f t="shared" si="15"/>
        <v>1.1266201180220143</v>
      </c>
      <c r="D184">
        <f t="shared" si="16"/>
        <v>3.9875383876674979</v>
      </c>
      <c r="E184">
        <f t="shared" si="17"/>
        <v>267842639.90511686</v>
      </c>
      <c r="F184" s="23">
        <f t="shared" si="10"/>
        <v>4.8249214490776735</v>
      </c>
      <c r="G184">
        <f t="shared" si="18"/>
        <v>96.012461612332501</v>
      </c>
      <c r="H184">
        <f t="shared" si="19"/>
        <v>960.12461612332504</v>
      </c>
      <c r="J184">
        <f t="shared" si="11"/>
        <v>2678436.0002973299</v>
      </c>
      <c r="K184">
        <f t="shared" si="12"/>
        <v>2232030.0002477751</v>
      </c>
      <c r="L184">
        <f t="shared" si="13"/>
        <v>99.999641535352708</v>
      </c>
    </row>
    <row r="185" spans="2:12">
      <c r="B185">
        <f t="shared" si="14"/>
        <v>2.4785642596484316</v>
      </c>
      <c r="C185">
        <f t="shared" si="15"/>
        <v>1.2392821298242158</v>
      </c>
      <c r="D185">
        <f t="shared" si="16"/>
        <v>4.8249214490776735</v>
      </c>
      <c r="E185">
        <f t="shared" si="17"/>
        <v>392148409.08508164</v>
      </c>
      <c r="F185" s="23">
        <f t="shared" si="10"/>
        <v>5.8381549533839854</v>
      </c>
      <c r="G185">
        <f t="shared" si="18"/>
        <v>95.175078550922322</v>
      </c>
      <c r="H185">
        <f t="shared" si="19"/>
        <v>951.75078550922319</v>
      </c>
      <c r="J185">
        <f t="shared" si="11"/>
        <v>3921493.6083586719</v>
      </c>
      <c r="K185">
        <f t="shared" si="12"/>
        <v>3267911.3402988934</v>
      </c>
      <c r="L185">
        <f t="shared" si="13"/>
        <v>99.999757298906857</v>
      </c>
    </row>
    <row r="186" spans="2:12">
      <c r="B186">
        <f t="shared" si="14"/>
        <v>2.7264206856132751</v>
      </c>
      <c r="C186">
        <f t="shared" si="15"/>
        <v>1.3632103428066376</v>
      </c>
      <c r="D186">
        <f t="shared" si="16"/>
        <v>5.8381549533839854</v>
      </c>
      <c r="E186">
        <f t="shared" si="17"/>
        <v>574144485.74146831</v>
      </c>
      <c r="F186" s="23">
        <f t="shared" si="10"/>
        <v>7.0641674935946224</v>
      </c>
      <c r="G186">
        <f t="shared" si="18"/>
        <v>94.161845046616008</v>
      </c>
      <c r="H186">
        <f t="shared" si="19"/>
        <v>941.61845046616008</v>
      </c>
      <c r="J186">
        <f t="shared" si="11"/>
        <v>5741454.2735991888</v>
      </c>
      <c r="K186">
        <f t="shared" si="12"/>
        <v>4784545.227999324</v>
      </c>
      <c r="L186">
        <f t="shared" si="13"/>
        <v>99.999835996525334</v>
      </c>
    </row>
    <row r="187" spans="2:12">
      <c r="B187">
        <f t="shared" si="14"/>
        <v>2.9990627541746027</v>
      </c>
      <c r="C187">
        <f t="shared" si="15"/>
        <v>1.4995313770873013</v>
      </c>
      <c r="D187">
        <f t="shared" si="16"/>
        <v>7.0641674935946224</v>
      </c>
      <c r="E187">
        <f t="shared" si="17"/>
        <v>840604941.57408369</v>
      </c>
      <c r="F187" s="23">
        <f t="shared" si="10"/>
        <v>8.5476426672494945</v>
      </c>
      <c r="G187">
        <f t="shared" si="18"/>
        <v>92.935832506405376</v>
      </c>
      <c r="H187">
        <f t="shared" si="19"/>
        <v>929.35832506405382</v>
      </c>
      <c r="J187">
        <f t="shared" si="11"/>
        <v>8406058.7093240861</v>
      </c>
      <c r="K187">
        <f t="shared" si="12"/>
        <v>7005048.9244367387</v>
      </c>
      <c r="L187">
        <f t="shared" si="13"/>
        <v>99.999889441846989</v>
      </c>
    </row>
    <row r="188" spans="2:12">
      <c r="B188">
        <f t="shared" si="14"/>
        <v>3.2989690295920631</v>
      </c>
      <c r="C188">
        <f t="shared" si="15"/>
        <v>1.6494845147960315</v>
      </c>
      <c r="D188">
        <f t="shared" si="16"/>
        <v>8.5476426672494945</v>
      </c>
      <c r="E188">
        <f t="shared" si="17"/>
        <v>1230729694.9586163</v>
      </c>
      <c r="F188" s="23">
        <f t="shared" si="10"/>
        <v>10.342647627371891</v>
      </c>
      <c r="G188">
        <f t="shared" si="18"/>
        <v>91.452357332750509</v>
      </c>
      <c r="H188">
        <f t="shared" si="19"/>
        <v>914.52357332750512</v>
      </c>
      <c r="J188">
        <f t="shared" si="11"/>
        <v>12307306.094821896</v>
      </c>
      <c r="K188">
        <f t="shared" si="12"/>
        <v>10256088.41235158</v>
      </c>
      <c r="L188">
        <f t="shared" si="13"/>
        <v>99.999925692627912</v>
      </c>
    </row>
    <row r="189" spans="2:12">
      <c r="B189">
        <f t="shared" si="14"/>
        <v>3.6288659325512698</v>
      </c>
      <c r="C189">
        <f t="shared" si="15"/>
        <v>1.8144329662756349</v>
      </c>
      <c r="D189">
        <f t="shared" si="16"/>
        <v>10.342647627371891</v>
      </c>
      <c r="E189">
        <f t="shared" si="17"/>
        <v>1801911346.3889105</v>
      </c>
      <c r="F189" s="23">
        <f t="shared" si="10"/>
        <v>12.514603629119989</v>
      </c>
      <c r="G189">
        <f t="shared" si="18"/>
        <v>89.657352372628111</v>
      </c>
      <c r="H189">
        <f t="shared" si="19"/>
        <v>896.57352372628111</v>
      </c>
      <c r="J189">
        <f t="shared" si="11"/>
        <v>18019122.429624341</v>
      </c>
      <c r="K189">
        <f t="shared" si="12"/>
        <v>15015935.358020285</v>
      </c>
      <c r="L189">
        <f t="shared" si="13"/>
        <v>99.99995024321926</v>
      </c>
    </row>
    <row r="190" spans="2:12">
      <c r="B190">
        <f t="shared" si="14"/>
        <v>3.9917525258063971</v>
      </c>
      <c r="C190">
        <f t="shared" si="15"/>
        <v>1.9958762629031985</v>
      </c>
      <c r="D190">
        <f t="shared" si="16"/>
        <v>12.514603629119989</v>
      </c>
      <c r="E190">
        <f t="shared" si="17"/>
        <v>2638178402.2480054</v>
      </c>
      <c r="F190" s="23">
        <f t="shared" si="10"/>
        <v>15.142670391235189</v>
      </c>
      <c r="G190">
        <f t="shared" si="18"/>
        <v>87.485396370880011</v>
      </c>
      <c r="H190">
        <f t="shared" si="19"/>
        <v>874.85396370880017</v>
      </c>
      <c r="J190">
        <f t="shared" si="11"/>
        <v>26381792.771019693</v>
      </c>
      <c r="K190">
        <f t="shared" si="12"/>
        <v>21984827.30918308</v>
      </c>
      <c r="L190">
        <f t="shared" si="13"/>
        <v>99.999966838722003</v>
      </c>
    </row>
    <row r="191" spans="2:12">
      <c r="B191">
        <f t="shared" si="14"/>
        <v>4.3909277783870371</v>
      </c>
      <c r="C191">
        <f t="shared" si="15"/>
        <v>2.1954638891935185</v>
      </c>
      <c r="D191">
        <f t="shared" si="16"/>
        <v>15.142670391235189</v>
      </c>
      <c r="E191">
        <f t="shared" si="17"/>
        <v>3862556998.7313061</v>
      </c>
      <c r="F191" s="23">
        <f t="shared" si="10"/>
        <v>18.322631173394583</v>
      </c>
      <c r="G191">
        <f t="shared" si="18"/>
        <v>84.857329608764815</v>
      </c>
      <c r="H191">
        <f t="shared" si="19"/>
        <v>848.57329608764815</v>
      </c>
      <c r="J191">
        <f t="shared" si="11"/>
        <v>38625578.47304602</v>
      </c>
      <c r="K191">
        <f t="shared" si="12"/>
        <v>32187982.060871683</v>
      </c>
      <c r="L191">
        <f t="shared" si="13"/>
        <v>99.999978030793855</v>
      </c>
    </row>
    <row r="192" spans="2:12">
      <c r="B192">
        <f t="shared" si="14"/>
        <v>4.8300205562257412</v>
      </c>
      <c r="C192">
        <f t="shared" si="15"/>
        <v>2.4150102781128706</v>
      </c>
      <c r="D192">
        <f t="shared" si="16"/>
        <v>18.322631173394583</v>
      </c>
      <c r="E192">
        <f t="shared" si="17"/>
        <v>5655169701.8425064</v>
      </c>
      <c r="F192" s="23">
        <f t="shared" si="10"/>
        <v>22.170383719807454</v>
      </c>
      <c r="G192">
        <f t="shared" si="18"/>
        <v>81.677368826605417</v>
      </c>
      <c r="H192">
        <f t="shared" si="19"/>
        <v>816.77368826605414</v>
      </c>
      <c r="J192">
        <f t="shared" si="11"/>
        <v>56551705.18616195</v>
      </c>
      <c r="K192">
        <f t="shared" si="12"/>
        <v>47126420.988468297</v>
      </c>
      <c r="L192">
        <f t="shared" si="13"/>
        <v>99.99998555704579</v>
      </c>
    </row>
    <row r="193" spans="2:12">
      <c r="B193">
        <f t="shared" si="14"/>
        <v>5.3130226118483161</v>
      </c>
      <c r="C193">
        <f t="shared" si="15"/>
        <v>2.6565113059241581</v>
      </c>
      <c r="D193">
        <f t="shared" si="16"/>
        <v>22.170383719807454</v>
      </c>
      <c r="E193">
        <f t="shared" si="17"/>
        <v>8279733960.4676199</v>
      </c>
      <c r="F193" s="23">
        <f t="shared" si="10"/>
        <v>26.826164300967019</v>
      </c>
      <c r="G193">
        <f t="shared" si="18"/>
        <v>77.829616280192539</v>
      </c>
      <c r="H193">
        <f t="shared" si="19"/>
        <v>778.29616280192545</v>
      </c>
      <c r="J193">
        <f t="shared" si="11"/>
        <v>82797347.387637824</v>
      </c>
      <c r="K193">
        <f t="shared" si="12"/>
        <v>68997789.489698187</v>
      </c>
      <c r="L193">
        <f t="shared" si="13"/>
        <v>99.999990599986745</v>
      </c>
    </row>
    <row r="194" spans="2:12">
      <c r="B194">
        <f t="shared" si="14"/>
        <v>5.8443248730331483</v>
      </c>
      <c r="C194">
        <f t="shared" si="15"/>
        <v>2.9221624365165741</v>
      </c>
      <c r="D194">
        <f t="shared" si="16"/>
        <v>26.826164300967019</v>
      </c>
      <c r="E194">
        <f t="shared" si="17"/>
        <v>12122358491.520645</v>
      </c>
      <c r="F194" s="23">
        <f t="shared" si="10"/>
        <v>32.459658804170104</v>
      </c>
      <c r="G194">
        <f t="shared" si="18"/>
        <v>73.173835699032978</v>
      </c>
      <c r="H194">
        <f t="shared" si="19"/>
        <v>731.73835699032975</v>
      </c>
      <c r="J194">
        <f t="shared" si="11"/>
        <v>121223592.23259002</v>
      </c>
      <c r="K194">
        <f t="shared" si="12"/>
        <v>101019660.19382502</v>
      </c>
      <c r="L194">
        <f t="shared" si="13"/>
        <v>99.999993963729793</v>
      </c>
    </row>
    <row r="195" spans="2:12">
      <c r="B195">
        <f t="shared" si="14"/>
        <v>6.4287573603364638</v>
      </c>
      <c r="C195">
        <f t="shared" si="15"/>
        <v>3.2143786801682319</v>
      </c>
      <c r="D195">
        <f t="shared" si="16"/>
        <v>32.459658804170104</v>
      </c>
      <c r="E195">
        <f t="shared" si="17"/>
        <v>17748345067.435383</v>
      </c>
      <c r="F195" s="23">
        <f t="shared" si="10"/>
        <v>39.276187153045825</v>
      </c>
      <c r="G195">
        <f t="shared" si="18"/>
        <v>67.540341195829896</v>
      </c>
      <c r="H195">
        <f t="shared" si="19"/>
        <v>675.40341195829899</v>
      </c>
      <c r="J195">
        <f t="shared" si="11"/>
        <v>177483457.42838794</v>
      </c>
      <c r="K195">
        <f t="shared" si="12"/>
        <v>147902881.19032329</v>
      </c>
      <c r="L195">
        <f t="shared" si="13"/>
        <v>99.999996194555692</v>
      </c>
    </row>
    <row r="196" spans="2:12">
      <c r="B196">
        <f t="shared" si="14"/>
        <v>7.0716330963701104</v>
      </c>
      <c r="C196">
        <f t="shared" si="15"/>
        <v>3.5358165481850552</v>
      </c>
      <c r="D196">
        <f t="shared" si="16"/>
        <v>39.276187153045825</v>
      </c>
      <c r="E196">
        <f t="shared" si="17"/>
        <v>25985352013.232147</v>
      </c>
      <c r="F196" s="23">
        <f t="shared" si="10"/>
        <v>47.524186455185458</v>
      </c>
      <c r="G196">
        <f t="shared" si="18"/>
        <v>60.723812846954175</v>
      </c>
      <c r="H196">
        <f t="shared" si="19"/>
        <v>607.23812846954172</v>
      </c>
      <c r="J196">
        <f t="shared" si="11"/>
        <v>259853526.20470276</v>
      </c>
      <c r="K196">
        <f t="shared" si="12"/>
        <v>216544605.17058563</v>
      </c>
      <c r="L196">
        <f t="shared" si="13"/>
        <v>99.999997663152257</v>
      </c>
    </row>
    <row r="197" spans="2:12">
      <c r="B197">
        <f t="shared" si="14"/>
        <v>7.778796406007122</v>
      </c>
      <c r="C197">
        <f t="shared" si="15"/>
        <v>3.889398203003561</v>
      </c>
      <c r="D197">
        <f t="shared" si="16"/>
        <v>47.524186455185458</v>
      </c>
      <c r="E197">
        <f t="shared" si="17"/>
        <v>38045153882.573196</v>
      </c>
      <c r="F197" s="23">
        <f t="shared" si="10"/>
        <v>57.504265610774411</v>
      </c>
      <c r="G197">
        <f t="shared" si="18"/>
        <v>52.475813544814542</v>
      </c>
      <c r="H197">
        <f t="shared" si="19"/>
        <v>524.75813544814537</v>
      </c>
      <c r="J197">
        <f t="shared" si="11"/>
        <v>380451544.0733133</v>
      </c>
      <c r="K197">
        <f t="shared" si="12"/>
        <v>317042953.39442778</v>
      </c>
      <c r="L197">
        <f t="shared" si="13"/>
        <v>99.999998620696545</v>
      </c>
    </row>
    <row r="198" spans="2:12">
      <c r="B198">
        <f t="shared" si="14"/>
        <v>8.5566760466078353</v>
      </c>
      <c r="C198">
        <f t="shared" si="15"/>
        <v>4.2783380233039177</v>
      </c>
      <c r="D198">
        <f t="shared" si="16"/>
        <v>57.504265610774411</v>
      </c>
      <c r="E198">
        <f t="shared" si="17"/>
        <v>55701909799.475441</v>
      </c>
      <c r="F198" s="23">
        <f t="shared" si="10"/>
        <v>69.580161389037045</v>
      </c>
      <c r="G198">
        <f t="shared" si="18"/>
        <v>42.495734389225589</v>
      </c>
      <c r="H198">
        <f t="shared" si="19"/>
        <v>424.95734389225589</v>
      </c>
      <c r="J198">
        <f t="shared" si="11"/>
        <v>557019102.2443279</v>
      </c>
      <c r="K198">
        <f t="shared" si="12"/>
        <v>464182585.20360661</v>
      </c>
      <c r="L198">
        <f t="shared" si="13"/>
        <v>99.999999237086584</v>
      </c>
    </row>
    <row r="199" spans="2:12">
      <c r="B199">
        <f t="shared" si="14"/>
        <v>9.4123436512686194</v>
      </c>
      <c r="C199">
        <f t="shared" si="15"/>
        <v>4.7061718256343097</v>
      </c>
      <c r="D199">
        <f t="shared" si="16"/>
        <v>69.580161389037045</v>
      </c>
      <c r="E199">
        <f t="shared" si="17"/>
        <v>81553166137.412018</v>
      </c>
      <c r="F199" s="23">
        <f t="shared" si="10"/>
        <v>84.191995280734858</v>
      </c>
      <c r="G199">
        <f t="shared" si="18"/>
        <v>30.419838610962955</v>
      </c>
      <c r="H199">
        <f t="shared" si="19"/>
        <v>304.19838610962955</v>
      </c>
      <c r="J199">
        <f t="shared" si="11"/>
        <v>815531664.41610396</v>
      </c>
      <c r="K199">
        <f t="shared" si="12"/>
        <v>679609720.34675336</v>
      </c>
      <c r="L199">
        <f t="shared" si="13"/>
        <v>99.999999626993784</v>
      </c>
    </row>
    <row r="200" spans="2:12">
      <c r="B200">
        <f t="shared" si="14"/>
        <v>10.353578016395483</v>
      </c>
      <c r="C200">
        <f t="shared" si="15"/>
        <v>5.1767890081977415</v>
      </c>
      <c r="D200">
        <f t="shared" si="16"/>
        <v>84.191995280734858</v>
      </c>
      <c r="E200">
        <f t="shared" si="17"/>
        <v>119401990541.78497</v>
      </c>
      <c r="F200" s="23">
        <f t="shared" si="10"/>
        <v>101.87231428968919</v>
      </c>
      <c r="G200">
        <f t="shared" si="18"/>
        <v>15.808004719265142</v>
      </c>
      <c r="H200">
        <f t="shared" si="19"/>
        <v>158.08004719265142</v>
      </c>
      <c r="J200">
        <f t="shared" si="11"/>
        <v>1194019906.9986503</v>
      </c>
      <c r="K200">
        <f t="shared" si="12"/>
        <v>995016589.16554201</v>
      </c>
      <c r="L200">
        <f t="shared" si="13"/>
        <v>99.99999986760686</v>
      </c>
    </row>
    <row r="201" spans="2:12">
      <c r="B201">
        <f t="shared" si="14"/>
        <v>10.353578016395483</v>
      </c>
      <c r="C201">
        <f t="shared" si="15"/>
        <v>5.1767890081977415</v>
      </c>
      <c r="D201">
        <f t="shared" si="16"/>
        <v>84.191995280734858</v>
      </c>
      <c r="E201">
        <f t="shared" si="17"/>
        <v>119401990541.78497</v>
      </c>
      <c r="F201" s="23">
        <f>(B200*1.1/2)^2*PI()</f>
        <v>101.87231428968919</v>
      </c>
      <c r="G201">
        <f t="shared" si="18"/>
        <v>15.808004719265142</v>
      </c>
      <c r="H201">
        <f t="shared" si="19"/>
        <v>158.08004719265142</v>
      </c>
      <c r="J201">
        <f t="shared" si="11"/>
        <v>1194019906.9986503</v>
      </c>
      <c r="K201">
        <f t="shared" si="12"/>
        <v>995016589.16554201</v>
      </c>
      <c r="L201">
        <f t="shared" si="13"/>
        <v>99.99999986760686</v>
      </c>
    </row>
    <row r="202" spans="2:12">
      <c r="B202">
        <f t="shared" si="14"/>
        <v>10.353578016395483</v>
      </c>
      <c r="C202">
        <f t="shared" si="15"/>
        <v>5.1767890081977415</v>
      </c>
      <c r="D202">
        <f t="shared" si="16"/>
        <v>84.191995280734858</v>
      </c>
      <c r="E202">
        <f t="shared" si="17"/>
        <v>119401990541.78497</v>
      </c>
      <c r="F202" s="23">
        <f t="shared" ref="F202:F265" si="20">(B201*1.1/2)^2*PI()</f>
        <v>101.87231428968919</v>
      </c>
      <c r="G202">
        <f t="shared" si="18"/>
        <v>15.808004719265142</v>
      </c>
      <c r="H202">
        <f t="shared" si="19"/>
        <v>158.08004719265142</v>
      </c>
      <c r="J202">
        <f t="shared" si="11"/>
        <v>1194019906.9986503</v>
      </c>
      <c r="K202">
        <f t="shared" si="12"/>
        <v>995016589.16554201</v>
      </c>
      <c r="L202">
        <f t="shared" si="13"/>
        <v>99.99999986760686</v>
      </c>
    </row>
    <row r="203" spans="2:12">
      <c r="B203">
        <f t="shared" si="14"/>
        <v>10.353578016395483</v>
      </c>
      <c r="C203">
        <f t="shared" si="15"/>
        <v>5.1767890081977415</v>
      </c>
      <c r="D203">
        <f t="shared" si="16"/>
        <v>84.191995280734858</v>
      </c>
      <c r="E203">
        <f t="shared" si="17"/>
        <v>119401990541.78497</v>
      </c>
      <c r="F203" s="23">
        <f t="shared" si="20"/>
        <v>101.87231428968919</v>
      </c>
      <c r="G203">
        <f t="shared" si="18"/>
        <v>15.808004719265142</v>
      </c>
      <c r="H203">
        <f t="shared" si="19"/>
        <v>158.08004719265142</v>
      </c>
      <c r="J203">
        <f t="shared" si="11"/>
        <v>1194019906.9986503</v>
      </c>
      <c r="K203">
        <f t="shared" si="12"/>
        <v>995016589.16554201</v>
      </c>
      <c r="L203">
        <f t="shared" si="13"/>
        <v>99.99999986760686</v>
      </c>
    </row>
    <row r="204" spans="2:12">
      <c r="B204">
        <f t="shared" si="14"/>
        <v>10.353578016395483</v>
      </c>
      <c r="C204">
        <f t="shared" si="15"/>
        <v>5.1767890081977415</v>
      </c>
      <c r="D204">
        <f t="shared" si="16"/>
        <v>84.191995280734858</v>
      </c>
      <c r="E204">
        <f t="shared" si="17"/>
        <v>119401990541.78497</v>
      </c>
      <c r="F204" s="23">
        <f t="shared" si="20"/>
        <v>101.87231428968919</v>
      </c>
      <c r="G204">
        <f t="shared" si="18"/>
        <v>15.808004719265142</v>
      </c>
      <c r="H204">
        <f t="shared" si="19"/>
        <v>158.08004719265142</v>
      </c>
      <c r="J204">
        <f t="shared" si="11"/>
        <v>1194019906.9986503</v>
      </c>
      <c r="K204">
        <f t="shared" si="12"/>
        <v>995016589.16554201</v>
      </c>
      <c r="L204">
        <f t="shared" si="13"/>
        <v>99.99999986760686</v>
      </c>
    </row>
    <row r="205" spans="2:12">
      <c r="B205">
        <f t="shared" si="14"/>
        <v>10.353578016395483</v>
      </c>
      <c r="C205">
        <f t="shared" si="15"/>
        <v>5.1767890081977415</v>
      </c>
      <c r="D205">
        <f t="shared" si="16"/>
        <v>84.191995280734858</v>
      </c>
      <c r="E205">
        <f t="shared" si="17"/>
        <v>119401990541.78497</v>
      </c>
      <c r="F205" s="23">
        <f t="shared" si="20"/>
        <v>101.87231428968919</v>
      </c>
      <c r="G205">
        <f t="shared" si="18"/>
        <v>15.808004719265142</v>
      </c>
      <c r="H205">
        <f t="shared" si="19"/>
        <v>158.08004719265142</v>
      </c>
      <c r="J205">
        <f t="shared" si="11"/>
        <v>1194019906.9986503</v>
      </c>
      <c r="K205">
        <f t="shared" si="12"/>
        <v>995016589.16554201</v>
      </c>
      <c r="L205">
        <f t="shared" si="13"/>
        <v>99.99999986760686</v>
      </c>
    </row>
    <row r="206" spans="2:12">
      <c r="B206">
        <f t="shared" si="14"/>
        <v>10.353578016395483</v>
      </c>
      <c r="C206">
        <f t="shared" si="15"/>
        <v>5.1767890081977415</v>
      </c>
      <c r="D206">
        <f t="shared" si="16"/>
        <v>84.191995280734858</v>
      </c>
      <c r="E206">
        <f t="shared" si="17"/>
        <v>119401990541.78497</v>
      </c>
      <c r="F206" s="23">
        <f t="shared" si="20"/>
        <v>101.87231428968919</v>
      </c>
      <c r="G206">
        <f t="shared" si="18"/>
        <v>15.808004719265142</v>
      </c>
      <c r="H206">
        <f t="shared" si="19"/>
        <v>158.08004719265142</v>
      </c>
      <c r="J206">
        <f t="shared" si="11"/>
        <v>1194019906.9986503</v>
      </c>
      <c r="K206">
        <f t="shared" si="12"/>
        <v>995016589.16554201</v>
      </c>
      <c r="L206">
        <f t="shared" si="13"/>
        <v>99.99999986760686</v>
      </c>
    </row>
    <row r="207" spans="2:12">
      <c r="B207">
        <f t="shared" si="14"/>
        <v>10.353578016395483</v>
      </c>
      <c r="C207">
        <f t="shared" si="15"/>
        <v>5.1767890081977415</v>
      </c>
      <c r="D207">
        <f t="shared" si="16"/>
        <v>84.191995280734858</v>
      </c>
      <c r="E207">
        <f t="shared" si="17"/>
        <v>119401990541.78497</v>
      </c>
      <c r="F207" s="23">
        <f t="shared" si="20"/>
        <v>101.87231428968919</v>
      </c>
      <c r="G207">
        <f t="shared" si="18"/>
        <v>15.808004719265142</v>
      </c>
      <c r="H207">
        <f t="shared" si="19"/>
        <v>158.08004719265142</v>
      </c>
      <c r="J207">
        <f t="shared" si="11"/>
        <v>1194019906.9986503</v>
      </c>
      <c r="K207">
        <f t="shared" si="12"/>
        <v>995016589.16554201</v>
      </c>
      <c r="L207">
        <f t="shared" si="13"/>
        <v>99.99999986760686</v>
      </c>
    </row>
    <row r="208" spans="2:12">
      <c r="B208">
        <f t="shared" si="14"/>
        <v>10.353578016395483</v>
      </c>
      <c r="C208">
        <f t="shared" si="15"/>
        <v>5.1767890081977415</v>
      </c>
      <c r="D208">
        <f t="shared" si="16"/>
        <v>84.191995280734858</v>
      </c>
      <c r="E208">
        <f t="shared" si="17"/>
        <v>119401990541.78497</v>
      </c>
      <c r="F208" s="23">
        <f t="shared" si="20"/>
        <v>101.87231428968919</v>
      </c>
      <c r="G208">
        <f t="shared" si="18"/>
        <v>15.808004719265142</v>
      </c>
      <c r="H208">
        <f t="shared" si="19"/>
        <v>158.08004719265142</v>
      </c>
      <c r="J208">
        <f t="shared" si="11"/>
        <v>1194019906.9986503</v>
      </c>
      <c r="K208">
        <f t="shared" si="12"/>
        <v>995016589.16554201</v>
      </c>
      <c r="L208">
        <f t="shared" si="13"/>
        <v>99.99999986760686</v>
      </c>
    </row>
    <row r="209" spans="2:12">
      <c r="B209">
        <f t="shared" si="14"/>
        <v>10.353578016395483</v>
      </c>
      <c r="C209">
        <f t="shared" si="15"/>
        <v>5.1767890081977415</v>
      </c>
      <c r="D209">
        <f t="shared" si="16"/>
        <v>84.191995280734858</v>
      </c>
      <c r="E209">
        <f t="shared" si="17"/>
        <v>119401990541.78497</v>
      </c>
      <c r="F209" s="23">
        <f t="shared" si="20"/>
        <v>101.87231428968919</v>
      </c>
      <c r="G209">
        <f t="shared" si="18"/>
        <v>15.808004719265142</v>
      </c>
      <c r="H209">
        <f t="shared" si="19"/>
        <v>158.08004719265142</v>
      </c>
      <c r="J209">
        <f t="shared" si="11"/>
        <v>1194019906.9986503</v>
      </c>
      <c r="K209">
        <f t="shared" si="12"/>
        <v>995016589.16554201</v>
      </c>
      <c r="L209">
        <f t="shared" si="13"/>
        <v>99.99999986760686</v>
      </c>
    </row>
    <row r="210" spans="2:12">
      <c r="B210">
        <f t="shared" si="14"/>
        <v>10.353578016395483</v>
      </c>
      <c r="C210">
        <f t="shared" si="15"/>
        <v>5.1767890081977415</v>
      </c>
      <c r="D210">
        <f t="shared" si="16"/>
        <v>84.191995280734858</v>
      </c>
      <c r="E210">
        <f t="shared" si="17"/>
        <v>119401990541.78497</v>
      </c>
      <c r="F210" s="23">
        <f t="shared" si="20"/>
        <v>101.87231428968919</v>
      </c>
      <c r="G210">
        <f t="shared" si="18"/>
        <v>15.808004719265142</v>
      </c>
      <c r="H210">
        <f t="shared" si="19"/>
        <v>158.08004719265142</v>
      </c>
      <c r="J210">
        <f t="shared" si="11"/>
        <v>1194019906.9986503</v>
      </c>
      <c r="K210">
        <f t="shared" si="12"/>
        <v>995016589.16554201</v>
      </c>
      <c r="L210">
        <f t="shared" si="13"/>
        <v>99.99999986760686</v>
      </c>
    </row>
    <row r="211" spans="2:12">
      <c r="B211">
        <f t="shared" si="14"/>
        <v>10.353578016395483</v>
      </c>
      <c r="C211">
        <f t="shared" si="15"/>
        <v>5.1767890081977415</v>
      </c>
      <c r="D211">
        <f t="shared" si="16"/>
        <v>84.191995280734858</v>
      </c>
      <c r="E211">
        <f t="shared" si="17"/>
        <v>119401990541.78497</v>
      </c>
      <c r="F211" s="23">
        <f t="shared" si="20"/>
        <v>101.87231428968919</v>
      </c>
      <c r="G211">
        <f t="shared" si="18"/>
        <v>15.808004719265142</v>
      </c>
      <c r="H211">
        <f t="shared" si="19"/>
        <v>158.08004719265142</v>
      </c>
      <c r="J211">
        <f t="shared" si="11"/>
        <v>1194019906.9986503</v>
      </c>
      <c r="K211">
        <f t="shared" si="12"/>
        <v>995016589.16554201</v>
      </c>
      <c r="L211">
        <f t="shared" si="13"/>
        <v>99.99999986760686</v>
      </c>
    </row>
    <row r="212" spans="2:12">
      <c r="B212">
        <f t="shared" si="14"/>
        <v>10.353578016395483</v>
      </c>
      <c r="C212">
        <f t="shared" si="15"/>
        <v>5.1767890081977415</v>
      </c>
      <c r="D212">
        <f t="shared" si="16"/>
        <v>84.191995280734858</v>
      </c>
      <c r="E212">
        <f t="shared" si="17"/>
        <v>119401990541.78497</v>
      </c>
      <c r="F212" s="23">
        <f t="shared" si="20"/>
        <v>101.87231428968919</v>
      </c>
      <c r="G212">
        <f t="shared" si="18"/>
        <v>15.808004719265142</v>
      </c>
      <c r="H212">
        <f t="shared" si="19"/>
        <v>158.08004719265142</v>
      </c>
      <c r="J212">
        <f t="shared" si="11"/>
        <v>1194019906.9986503</v>
      </c>
      <c r="K212">
        <f t="shared" si="12"/>
        <v>995016589.16554201</v>
      </c>
      <c r="L212">
        <f t="shared" si="13"/>
        <v>99.99999986760686</v>
      </c>
    </row>
    <row r="213" spans="2:12">
      <c r="B213">
        <f t="shared" si="14"/>
        <v>10.353578016395483</v>
      </c>
      <c r="C213">
        <f t="shared" si="15"/>
        <v>5.1767890081977415</v>
      </c>
      <c r="D213">
        <f t="shared" si="16"/>
        <v>84.191995280734858</v>
      </c>
      <c r="E213">
        <f t="shared" si="17"/>
        <v>119401990541.78497</v>
      </c>
      <c r="F213" s="23">
        <f t="shared" si="20"/>
        <v>101.87231428968919</v>
      </c>
      <c r="G213">
        <f t="shared" si="18"/>
        <v>15.808004719265142</v>
      </c>
      <c r="H213">
        <f t="shared" si="19"/>
        <v>158.08004719265142</v>
      </c>
      <c r="J213">
        <f t="shared" si="11"/>
        <v>1194019906.9986503</v>
      </c>
      <c r="K213">
        <f t="shared" si="12"/>
        <v>995016589.16554201</v>
      </c>
      <c r="L213">
        <f t="shared" si="13"/>
        <v>99.99999986760686</v>
      </c>
    </row>
    <row r="214" spans="2:12">
      <c r="B214">
        <f t="shared" si="14"/>
        <v>10.353578016395483</v>
      </c>
      <c r="C214">
        <f t="shared" si="15"/>
        <v>5.1767890081977415</v>
      </c>
      <c r="D214">
        <f t="shared" si="16"/>
        <v>84.191995280734858</v>
      </c>
      <c r="E214">
        <f t="shared" si="17"/>
        <v>119401990541.78497</v>
      </c>
      <c r="F214" s="23">
        <f t="shared" si="20"/>
        <v>101.87231428968919</v>
      </c>
      <c r="G214">
        <f t="shared" si="18"/>
        <v>15.808004719265142</v>
      </c>
      <c r="H214">
        <f t="shared" si="19"/>
        <v>158.08004719265142</v>
      </c>
      <c r="J214">
        <f t="shared" si="11"/>
        <v>1194019906.9986503</v>
      </c>
      <c r="K214">
        <f t="shared" si="12"/>
        <v>995016589.16554201</v>
      </c>
      <c r="L214">
        <f t="shared" si="13"/>
        <v>99.99999986760686</v>
      </c>
    </row>
    <row r="215" spans="2:12">
      <c r="B215">
        <f t="shared" si="14"/>
        <v>10.353578016395483</v>
      </c>
      <c r="C215">
        <f t="shared" si="15"/>
        <v>5.1767890081977415</v>
      </c>
      <c r="D215">
        <f t="shared" si="16"/>
        <v>84.191995280734858</v>
      </c>
      <c r="E215">
        <f t="shared" si="17"/>
        <v>119401990541.78497</v>
      </c>
      <c r="F215" s="23">
        <f t="shared" si="20"/>
        <v>101.87231428968919</v>
      </c>
      <c r="G215">
        <f t="shared" si="18"/>
        <v>15.808004719265142</v>
      </c>
      <c r="H215">
        <f t="shared" si="19"/>
        <v>158.08004719265142</v>
      </c>
      <c r="J215">
        <f t="shared" si="11"/>
        <v>1194019906.9986503</v>
      </c>
      <c r="K215">
        <f t="shared" si="12"/>
        <v>995016589.16554201</v>
      </c>
      <c r="L215">
        <f t="shared" si="13"/>
        <v>99.99999986760686</v>
      </c>
    </row>
    <row r="216" spans="2:12">
      <c r="B216">
        <f t="shared" si="14"/>
        <v>10.353578016395483</v>
      </c>
      <c r="C216">
        <f t="shared" si="15"/>
        <v>5.1767890081977415</v>
      </c>
      <c r="D216">
        <f t="shared" si="16"/>
        <v>84.191995280734858</v>
      </c>
      <c r="E216">
        <f t="shared" si="17"/>
        <v>119401990541.78497</v>
      </c>
      <c r="F216" s="23">
        <f t="shared" si="20"/>
        <v>101.87231428968919</v>
      </c>
      <c r="G216">
        <f t="shared" si="18"/>
        <v>15.808004719265142</v>
      </c>
      <c r="H216">
        <f t="shared" si="19"/>
        <v>158.08004719265142</v>
      </c>
      <c r="J216">
        <f t="shared" si="11"/>
        <v>1194019906.9986503</v>
      </c>
      <c r="K216">
        <f t="shared" si="12"/>
        <v>995016589.16554201</v>
      </c>
      <c r="L216">
        <f t="shared" si="13"/>
        <v>99.99999986760686</v>
      </c>
    </row>
    <row r="217" spans="2:12">
      <c r="B217">
        <f t="shared" si="14"/>
        <v>10.353578016395483</v>
      </c>
      <c r="C217">
        <f t="shared" si="15"/>
        <v>5.1767890081977415</v>
      </c>
      <c r="D217">
        <f t="shared" si="16"/>
        <v>84.191995280734858</v>
      </c>
      <c r="E217">
        <f t="shared" si="17"/>
        <v>119401990541.78497</v>
      </c>
      <c r="F217" s="23">
        <f t="shared" si="20"/>
        <v>101.87231428968919</v>
      </c>
      <c r="G217">
        <f t="shared" si="18"/>
        <v>15.808004719265142</v>
      </c>
      <c r="H217">
        <f t="shared" si="19"/>
        <v>158.08004719265142</v>
      </c>
      <c r="J217">
        <f t="shared" si="11"/>
        <v>1194019906.9986503</v>
      </c>
      <c r="K217">
        <f t="shared" si="12"/>
        <v>995016589.16554201</v>
      </c>
      <c r="L217">
        <f t="shared" si="13"/>
        <v>99.99999986760686</v>
      </c>
    </row>
    <row r="218" spans="2:12">
      <c r="B218">
        <f t="shared" si="14"/>
        <v>10.353578016395483</v>
      </c>
      <c r="C218">
        <f t="shared" si="15"/>
        <v>5.1767890081977415</v>
      </c>
      <c r="D218">
        <f t="shared" si="16"/>
        <v>84.191995280734858</v>
      </c>
      <c r="E218">
        <f t="shared" si="17"/>
        <v>119401990541.78497</v>
      </c>
      <c r="F218" s="23">
        <f t="shared" si="20"/>
        <v>101.87231428968919</v>
      </c>
      <c r="G218">
        <f t="shared" si="18"/>
        <v>15.808004719265142</v>
      </c>
      <c r="H218">
        <f t="shared" si="19"/>
        <v>158.08004719265142</v>
      </c>
      <c r="J218">
        <f t="shared" si="11"/>
        <v>1194019906.9986503</v>
      </c>
      <c r="K218">
        <f t="shared" si="12"/>
        <v>995016589.16554201</v>
      </c>
      <c r="L218">
        <f t="shared" si="13"/>
        <v>99.99999986760686</v>
      </c>
    </row>
    <row r="219" spans="2:12">
      <c r="B219">
        <f t="shared" si="14"/>
        <v>10.353578016395483</v>
      </c>
      <c r="C219">
        <f t="shared" si="15"/>
        <v>5.1767890081977415</v>
      </c>
      <c r="D219">
        <f t="shared" si="16"/>
        <v>84.191995280734858</v>
      </c>
      <c r="E219">
        <f t="shared" si="17"/>
        <v>119401990541.78497</v>
      </c>
      <c r="F219" s="23">
        <f t="shared" si="20"/>
        <v>101.87231428968919</v>
      </c>
      <c r="G219">
        <f t="shared" si="18"/>
        <v>15.808004719265142</v>
      </c>
      <c r="H219">
        <f t="shared" si="19"/>
        <v>158.08004719265142</v>
      </c>
      <c r="J219">
        <f t="shared" si="11"/>
        <v>1194019906.9986503</v>
      </c>
      <c r="K219">
        <f t="shared" si="12"/>
        <v>995016589.16554201</v>
      </c>
      <c r="L219">
        <f t="shared" si="13"/>
        <v>99.99999986760686</v>
      </c>
    </row>
    <row r="220" spans="2:12">
      <c r="B220">
        <f t="shared" si="14"/>
        <v>10.353578016395483</v>
      </c>
      <c r="C220">
        <f t="shared" si="15"/>
        <v>5.1767890081977415</v>
      </c>
      <c r="D220">
        <f t="shared" si="16"/>
        <v>84.191995280734858</v>
      </c>
      <c r="E220">
        <f t="shared" si="17"/>
        <v>119401990541.78497</v>
      </c>
      <c r="F220" s="23">
        <f t="shared" si="20"/>
        <v>101.87231428968919</v>
      </c>
      <c r="G220">
        <f t="shared" si="18"/>
        <v>15.808004719265142</v>
      </c>
      <c r="H220">
        <f t="shared" si="19"/>
        <v>158.08004719265142</v>
      </c>
      <c r="J220">
        <f t="shared" si="11"/>
        <v>1194019906.9986503</v>
      </c>
      <c r="K220">
        <f t="shared" si="12"/>
        <v>995016589.16554201</v>
      </c>
      <c r="L220">
        <f t="shared" si="13"/>
        <v>99.99999986760686</v>
      </c>
    </row>
    <row r="221" spans="2:12">
      <c r="B221">
        <f t="shared" si="14"/>
        <v>10.353578016395483</v>
      </c>
      <c r="C221">
        <f t="shared" si="15"/>
        <v>5.1767890081977415</v>
      </c>
      <c r="D221">
        <f t="shared" si="16"/>
        <v>84.191995280734858</v>
      </c>
      <c r="E221">
        <f t="shared" si="17"/>
        <v>119401990541.78497</v>
      </c>
      <c r="F221" s="23">
        <f t="shared" si="20"/>
        <v>101.87231428968919</v>
      </c>
      <c r="G221">
        <f t="shared" si="18"/>
        <v>15.808004719265142</v>
      </c>
      <c r="H221">
        <f t="shared" si="19"/>
        <v>158.08004719265142</v>
      </c>
      <c r="J221">
        <f t="shared" si="11"/>
        <v>1194019906.9986503</v>
      </c>
      <c r="K221">
        <f t="shared" si="12"/>
        <v>995016589.16554201</v>
      </c>
      <c r="L221">
        <f t="shared" si="13"/>
        <v>99.99999986760686</v>
      </c>
    </row>
    <row r="222" spans="2:12">
      <c r="B222">
        <f t="shared" si="14"/>
        <v>10.353578016395483</v>
      </c>
      <c r="C222">
        <f t="shared" si="15"/>
        <v>5.1767890081977415</v>
      </c>
      <c r="D222">
        <f t="shared" si="16"/>
        <v>84.191995280734858</v>
      </c>
      <c r="E222">
        <f t="shared" si="17"/>
        <v>119401990541.78497</v>
      </c>
      <c r="F222" s="23">
        <f t="shared" si="20"/>
        <v>101.87231428968919</v>
      </c>
      <c r="G222">
        <f t="shared" si="18"/>
        <v>15.808004719265142</v>
      </c>
      <c r="H222">
        <f t="shared" si="19"/>
        <v>158.08004719265142</v>
      </c>
      <c r="J222">
        <f t="shared" si="11"/>
        <v>1194019906.9986503</v>
      </c>
      <c r="K222">
        <f t="shared" si="12"/>
        <v>995016589.16554201</v>
      </c>
      <c r="L222">
        <f t="shared" si="13"/>
        <v>99.99999986760686</v>
      </c>
    </row>
    <row r="223" spans="2:12">
      <c r="B223">
        <f t="shared" si="14"/>
        <v>10.353578016395483</v>
      </c>
      <c r="C223">
        <f t="shared" si="15"/>
        <v>5.1767890081977415</v>
      </c>
      <c r="D223">
        <f t="shared" si="16"/>
        <v>84.191995280734858</v>
      </c>
      <c r="E223">
        <f t="shared" si="17"/>
        <v>119401990541.78497</v>
      </c>
      <c r="F223" s="23">
        <f t="shared" si="20"/>
        <v>101.87231428968919</v>
      </c>
      <c r="G223">
        <f t="shared" si="18"/>
        <v>15.808004719265142</v>
      </c>
      <c r="H223">
        <f t="shared" si="19"/>
        <v>158.08004719265142</v>
      </c>
      <c r="J223">
        <f t="shared" si="11"/>
        <v>1194019906.9986503</v>
      </c>
      <c r="K223">
        <f t="shared" si="12"/>
        <v>995016589.16554201</v>
      </c>
      <c r="L223">
        <f t="shared" si="13"/>
        <v>99.99999986760686</v>
      </c>
    </row>
    <row r="224" spans="2:12">
      <c r="B224">
        <f t="shared" si="14"/>
        <v>10.353578016395483</v>
      </c>
      <c r="C224">
        <f t="shared" si="15"/>
        <v>5.1767890081977415</v>
      </c>
      <c r="D224">
        <f t="shared" si="16"/>
        <v>84.191995280734858</v>
      </c>
      <c r="E224">
        <f t="shared" si="17"/>
        <v>119401990541.78497</v>
      </c>
      <c r="F224" s="23">
        <f t="shared" si="20"/>
        <v>101.87231428968919</v>
      </c>
      <c r="G224">
        <f t="shared" si="18"/>
        <v>15.808004719265142</v>
      </c>
      <c r="H224">
        <f t="shared" si="19"/>
        <v>158.08004719265142</v>
      </c>
      <c r="J224">
        <f t="shared" si="11"/>
        <v>1194019906.9986503</v>
      </c>
      <c r="K224">
        <f t="shared" si="12"/>
        <v>995016589.16554201</v>
      </c>
      <c r="L224">
        <f t="shared" si="13"/>
        <v>99.99999986760686</v>
      </c>
    </row>
    <row r="225" spans="2:12">
      <c r="B225">
        <f t="shared" si="14"/>
        <v>10.353578016395483</v>
      </c>
      <c r="C225">
        <f t="shared" si="15"/>
        <v>5.1767890081977415</v>
      </c>
      <c r="D225">
        <f t="shared" si="16"/>
        <v>84.191995280734858</v>
      </c>
      <c r="E225">
        <f t="shared" si="17"/>
        <v>119401990541.78497</v>
      </c>
      <c r="F225" s="23">
        <f t="shared" si="20"/>
        <v>101.87231428968919</v>
      </c>
      <c r="G225">
        <f t="shared" si="18"/>
        <v>15.808004719265142</v>
      </c>
      <c r="H225">
        <f t="shared" si="19"/>
        <v>158.08004719265142</v>
      </c>
      <c r="J225">
        <f t="shared" si="11"/>
        <v>1194019906.9986503</v>
      </c>
      <c r="K225">
        <f t="shared" si="12"/>
        <v>995016589.16554201</v>
      </c>
      <c r="L225">
        <f t="shared" si="13"/>
        <v>99.99999986760686</v>
      </c>
    </row>
    <row r="226" spans="2:12">
      <c r="B226">
        <f t="shared" si="14"/>
        <v>10.353578016395483</v>
      </c>
      <c r="C226">
        <f t="shared" si="15"/>
        <v>5.1767890081977415</v>
      </c>
      <c r="D226">
        <f t="shared" si="16"/>
        <v>84.191995280734858</v>
      </c>
      <c r="E226">
        <f t="shared" si="17"/>
        <v>119401990541.78497</v>
      </c>
      <c r="F226" s="23">
        <f t="shared" si="20"/>
        <v>101.87231428968919</v>
      </c>
      <c r="G226">
        <f t="shared" si="18"/>
        <v>15.808004719265142</v>
      </c>
      <c r="H226">
        <f t="shared" si="19"/>
        <v>158.08004719265142</v>
      </c>
      <c r="J226">
        <f t="shared" si="11"/>
        <v>1194019906.9986503</v>
      </c>
      <c r="K226">
        <f t="shared" si="12"/>
        <v>995016589.16554201</v>
      </c>
      <c r="L226">
        <f t="shared" si="13"/>
        <v>99.99999986760686</v>
      </c>
    </row>
    <row r="227" spans="2:12">
      <c r="B227">
        <f t="shared" si="14"/>
        <v>10.353578016395483</v>
      </c>
      <c r="C227">
        <f t="shared" si="15"/>
        <v>5.1767890081977415</v>
      </c>
      <c r="D227">
        <f t="shared" si="16"/>
        <v>84.191995280734858</v>
      </c>
      <c r="E227">
        <f t="shared" si="17"/>
        <v>119401990541.78497</v>
      </c>
      <c r="F227" s="23">
        <f t="shared" si="20"/>
        <v>101.87231428968919</v>
      </c>
      <c r="G227">
        <f t="shared" si="18"/>
        <v>15.808004719265142</v>
      </c>
      <c r="H227">
        <f t="shared" si="19"/>
        <v>158.08004719265142</v>
      </c>
      <c r="J227">
        <f t="shared" si="11"/>
        <v>1194019906.9986503</v>
      </c>
      <c r="K227">
        <f t="shared" si="12"/>
        <v>995016589.16554201</v>
      </c>
      <c r="L227">
        <f t="shared" si="13"/>
        <v>99.99999986760686</v>
      </c>
    </row>
    <row r="228" spans="2:12">
      <c r="B228">
        <f t="shared" si="14"/>
        <v>10.353578016395483</v>
      </c>
      <c r="C228">
        <f t="shared" si="15"/>
        <v>5.1767890081977415</v>
      </c>
      <c r="D228">
        <f t="shared" si="16"/>
        <v>84.191995280734858</v>
      </c>
      <c r="E228">
        <f t="shared" si="17"/>
        <v>119401990541.78497</v>
      </c>
      <c r="F228" s="23">
        <f t="shared" si="20"/>
        <v>101.87231428968919</v>
      </c>
      <c r="G228">
        <f t="shared" si="18"/>
        <v>15.808004719265142</v>
      </c>
      <c r="H228">
        <f t="shared" si="19"/>
        <v>158.08004719265142</v>
      </c>
      <c r="J228">
        <f t="shared" si="11"/>
        <v>1194019906.9986503</v>
      </c>
      <c r="K228">
        <f t="shared" si="12"/>
        <v>995016589.16554201</v>
      </c>
      <c r="L228">
        <f t="shared" si="13"/>
        <v>99.99999986760686</v>
      </c>
    </row>
    <row r="229" spans="2:12">
      <c r="B229">
        <f t="shared" si="14"/>
        <v>10.353578016395483</v>
      </c>
      <c r="C229">
        <f t="shared" si="15"/>
        <v>5.1767890081977415</v>
      </c>
      <c r="D229">
        <f t="shared" si="16"/>
        <v>84.191995280734858</v>
      </c>
      <c r="E229">
        <f t="shared" si="17"/>
        <v>119401990541.78497</v>
      </c>
      <c r="F229" s="23">
        <f t="shared" si="20"/>
        <v>101.87231428968919</v>
      </c>
      <c r="G229">
        <f t="shared" si="18"/>
        <v>15.808004719265142</v>
      </c>
      <c r="H229">
        <f t="shared" si="19"/>
        <v>158.08004719265142</v>
      </c>
      <c r="J229">
        <f t="shared" si="11"/>
        <v>1194019906.9986503</v>
      </c>
      <c r="K229">
        <f t="shared" si="12"/>
        <v>995016589.16554201</v>
      </c>
      <c r="L229">
        <f t="shared" si="13"/>
        <v>99.99999986760686</v>
      </c>
    </row>
    <row r="230" spans="2:12">
      <c r="B230">
        <f t="shared" si="14"/>
        <v>10.353578016395483</v>
      </c>
      <c r="C230">
        <f t="shared" si="15"/>
        <v>5.1767890081977415</v>
      </c>
      <c r="D230">
        <f t="shared" si="16"/>
        <v>84.191995280734858</v>
      </c>
      <c r="E230">
        <f t="shared" si="17"/>
        <v>119401990541.78497</v>
      </c>
      <c r="F230" s="23">
        <f t="shared" si="20"/>
        <v>101.87231428968919</v>
      </c>
      <c r="G230">
        <f t="shared" si="18"/>
        <v>15.808004719265142</v>
      </c>
      <c r="H230">
        <f t="shared" si="19"/>
        <v>158.08004719265142</v>
      </c>
      <c r="J230">
        <f t="shared" si="11"/>
        <v>1194019906.9986503</v>
      </c>
      <c r="K230">
        <f t="shared" si="12"/>
        <v>995016589.16554201</v>
      </c>
      <c r="L230">
        <f t="shared" si="13"/>
        <v>99.99999986760686</v>
      </c>
    </row>
    <row r="231" spans="2:12">
      <c r="B231">
        <f t="shared" si="14"/>
        <v>10.353578016395483</v>
      </c>
      <c r="C231">
        <f t="shared" si="15"/>
        <v>5.1767890081977415</v>
      </c>
      <c r="D231">
        <f t="shared" si="16"/>
        <v>84.191995280734858</v>
      </c>
      <c r="E231">
        <f t="shared" si="17"/>
        <v>119401990541.78497</v>
      </c>
      <c r="F231" s="23">
        <f t="shared" si="20"/>
        <v>101.87231428968919</v>
      </c>
      <c r="G231">
        <f t="shared" si="18"/>
        <v>15.808004719265142</v>
      </c>
      <c r="H231">
        <f t="shared" si="19"/>
        <v>158.08004719265142</v>
      </c>
      <c r="J231">
        <f t="shared" si="11"/>
        <v>1194019906.9986503</v>
      </c>
      <c r="K231">
        <f t="shared" si="12"/>
        <v>995016589.16554201</v>
      </c>
      <c r="L231">
        <f t="shared" si="13"/>
        <v>99.99999986760686</v>
      </c>
    </row>
    <row r="232" spans="2:12">
      <c r="B232">
        <f t="shared" si="14"/>
        <v>10.353578016395483</v>
      </c>
      <c r="C232">
        <f t="shared" si="15"/>
        <v>5.1767890081977415</v>
      </c>
      <c r="D232">
        <f t="shared" si="16"/>
        <v>84.191995280734858</v>
      </c>
      <c r="E232">
        <f t="shared" si="17"/>
        <v>119401990541.78497</v>
      </c>
      <c r="F232" s="23">
        <f t="shared" si="20"/>
        <v>101.87231428968919</v>
      </c>
      <c r="G232">
        <f t="shared" si="18"/>
        <v>15.808004719265142</v>
      </c>
      <c r="H232">
        <f t="shared" si="19"/>
        <v>158.08004719265142</v>
      </c>
      <c r="J232">
        <f t="shared" ref="J232:J295" si="21">(E232+H232)/(G232+D232)</f>
        <v>1194019906.9986503</v>
      </c>
      <c r="K232">
        <f t="shared" ref="K232:K295" si="22">($B$73/($B$73+$B$74))*J232</f>
        <v>995016589.16554201</v>
      </c>
      <c r="L232">
        <f t="shared" ref="L232:L295" si="23">E232/(H232+E232)*100</f>
        <v>99.99999986760686</v>
      </c>
    </row>
    <row r="233" spans="2:12">
      <c r="B233">
        <f t="shared" ref="B233:B296" si="24">IF(F232&lt;$B$72, B232*1.1, B232)</f>
        <v>10.353578016395483</v>
      </c>
      <c r="C233">
        <f t="shared" ref="C233:C296" si="25">B233/2</f>
        <v>5.1767890081977415</v>
      </c>
      <c r="D233">
        <f t="shared" ref="D233:D296" si="26">C233*C233*PI()</f>
        <v>84.191995280734858</v>
      </c>
      <c r="E233">
        <f t="shared" ref="E233:E296" si="27">(1*980*PI()*(C233^4)*($B$73+$B$74)*3600*100)/(8*$B$73*1)</f>
        <v>119401990541.78497</v>
      </c>
      <c r="F233" s="23">
        <f t="shared" si="20"/>
        <v>101.87231428968919</v>
      </c>
      <c r="G233">
        <f t="shared" ref="G233:G296" si="28">$B$72-D233</f>
        <v>15.808004719265142</v>
      </c>
      <c r="H233">
        <f t="shared" ref="H233:H296" si="29">-(-$B$71/$B$72*G233)</f>
        <v>158.08004719265142</v>
      </c>
      <c r="J233">
        <f t="shared" si="21"/>
        <v>1194019906.9986503</v>
      </c>
      <c r="K233">
        <f t="shared" si="22"/>
        <v>995016589.16554201</v>
      </c>
      <c r="L233">
        <f t="shared" si="23"/>
        <v>99.99999986760686</v>
      </c>
    </row>
    <row r="234" spans="2:12">
      <c r="B234">
        <f t="shared" si="24"/>
        <v>10.353578016395483</v>
      </c>
      <c r="C234">
        <f t="shared" si="25"/>
        <v>5.1767890081977415</v>
      </c>
      <c r="D234">
        <f t="shared" si="26"/>
        <v>84.191995280734858</v>
      </c>
      <c r="E234">
        <f t="shared" si="27"/>
        <v>119401990541.78497</v>
      </c>
      <c r="F234" s="23">
        <f t="shared" si="20"/>
        <v>101.87231428968919</v>
      </c>
      <c r="G234">
        <f t="shared" si="28"/>
        <v>15.808004719265142</v>
      </c>
      <c r="H234">
        <f t="shared" si="29"/>
        <v>158.08004719265142</v>
      </c>
      <c r="J234">
        <f t="shared" si="21"/>
        <v>1194019906.9986503</v>
      </c>
      <c r="K234">
        <f t="shared" si="22"/>
        <v>995016589.16554201</v>
      </c>
      <c r="L234">
        <f t="shared" si="23"/>
        <v>99.99999986760686</v>
      </c>
    </row>
    <row r="235" spans="2:12">
      <c r="B235">
        <f t="shared" si="24"/>
        <v>10.353578016395483</v>
      </c>
      <c r="C235">
        <f t="shared" si="25"/>
        <v>5.1767890081977415</v>
      </c>
      <c r="D235">
        <f t="shared" si="26"/>
        <v>84.191995280734858</v>
      </c>
      <c r="E235">
        <f t="shared" si="27"/>
        <v>119401990541.78497</v>
      </c>
      <c r="F235" s="23">
        <f t="shared" si="20"/>
        <v>101.87231428968919</v>
      </c>
      <c r="G235">
        <f t="shared" si="28"/>
        <v>15.808004719265142</v>
      </c>
      <c r="H235">
        <f t="shared" si="29"/>
        <v>158.08004719265142</v>
      </c>
      <c r="J235">
        <f t="shared" si="21"/>
        <v>1194019906.9986503</v>
      </c>
      <c r="K235">
        <f t="shared" si="22"/>
        <v>995016589.16554201</v>
      </c>
      <c r="L235">
        <f t="shared" si="23"/>
        <v>99.99999986760686</v>
      </c>
    </row>
    <row r="236" spans="2:12">
      <c r="B236">
        <f t="shared" si="24"/>
        <v>10.353578016395483</v>
      </c>
      <c r="C236">
        <f t="shared" si="25"/>
        <v>5.1767890081977415</v>
      </c>
      <c r="D236">
        <f t="shared" si="26"/>
        <v>84.191995280734858</v>
      </c>
      <c r="E236">
        <f t="shared" si="27"/>
        <v>119401990541.78497</v>
      </c>
      <c r="F236" s="23">
        <f t="shared" si="20"/>
        <v>101.87231428968919</v>
      </c>
      <c r="G236">
        <f t="shared" si="28"/>
        <v>15.808004719265142</v>
      </c>
      <c r="H236">
        <f t="shared" si="29"/>
        <v>158.08004719265142</v>
      </c>
      <c r="J236">
        <f t="shared" si="21"/>
        <v>1194019906.9986503</v>
      </c>
      <c r="K236">
        <f t="shared" si="22"/>
        <v>995016589.16554201</v>
      </c>
      <c r="L236">
        <f t="shared" si="23"/>
        <v>99.99999986760686</v>
      </c>
    </row>
    <row r="237" spans="2:12">
      <c r="B237">
        <f t="shared" si="24"/>
        <v>10.353578016395483</v>
      </c>
      <c r="C237">
        <f t="shared" si="25"/>
        <v>5.1767890081977415</v>
      </c>
      <c r="D237">
        <f t="shared" si="26"/>
        <v>84.191995280734858</v>
      </c>
      <c r="E237">
        <f t="shared" si="27"/>
        <v>119401990541.78497</v>
      </c>
      <c r="F237" s="23">
        <f t="shared" si="20"/>
        <v>101.87231428968919</v>
      </c>
      <c r="G237">
        <f t="shared" si="28"/>
        <v>15.808004719265142</v>
      </c>
      <c r="H237">
        <f t="shared" si="29"/>
        <v>158.08004719265142</v>
      </c>
      <c r="J237">
        <f t="shared" si="21"/>
        <v>1194019906.9986503</v>
      </c>
      <c r="K237">
        <f t="shared" si="22"/>
        <v>995016589.16554201</v>
      </c>
      <c r="L237">
        <f t="shared" si="23"/>
        <v>99.99999986760686</v>
      </c>
    </row>
    <row r="238" spans="2:12">
      <c r="B238">
        <f t="shared" si="24"/>
        <v>10.353578016395483</v>
      </c>
      <c r="C238">
        <f t="shared" si="25"/>
        <v>5.1767890081977415</v>
      </c>
      <c r="D238">
        <f t="shared" si="26"/>
        <v>84.191995280734858</v>
      </c>
      <c r="E238">
        <f t="shared" si="27"/>
        <v>119401990541.78497</v>
      </c>
      <c r="F238" s="23">
        <f t="shared" si="20"/>
        <v>101.87231428968919</v>
      </c>
      <c r="G238">
        <f t="shared" si="28"/>
        <v>15.808004719265142</v>
      </c>
      <c r="H238">
        <f t="shared" si="29"/>
        <v>158.08004719265142</v>
      </c>
      <c r="J238">
        <f t="shared" si="21"/>
        <v>1194019906.9986503</v>
      </c>
      <c r="K238">
        <f t="shared" si="22"/>
        <v>995016589.16554201</v>
      </c>
      <c r="L238">
        <f t="shared" si="23"/>
        <v>99.99999986760686</v>
      </c>
    </row>
    <row r="239" spans="2:12">
      <c r="B239">
        <f t="shared" si="24"/>
        <v>10.353578016395483</v>
      </c>
      <c r="C239">
        <f t="shared" si="25"/>
        <v>5.1767890081977415</v>
      </c>
      <c r="D239">
        <f t="shared" si="26"/>
        <v>84.191995280734858</v>
      </c>
      <c r="E239">
        <f t="shared" si="27"/>
        <v>119401990541.78497</v>
      </c>
      <c r="F239" s="23">
        <f t="shared" si="20"/>
        <v>101.87231428968919</v>
      </c>
      <c r="G239">
        <f t="shared" si="28"/>
        <v>15.808004719265142</v>
      </c>
      <c r="H239">
        <f t="shared" si="29"/>
        <v>158.08004719265142</v>
      </c>
      <c r="J239">
        <f t="shared" si="21"/>
        <v>1194019906.9986503</v>
      </c>
      <c r="K239">
        <f t="shared" si="22"/>
        <v>995016589.16554201</v>
      </c>
      <c r="L239">
        <f t="shared" si="23"/>
        <v>99.99999986760686</v>
      </c>
    </row>
    <row r="240" spans="2:12">
      <c r="B240">
        <f t="shared" si="24"/>
        <v>10.353578016395483</v>
      </c>
      <c r="C240">
        <f t="shared" si="25"/>
        <v>5.1767890081977415</v>
      </c>
      <c r="D240">
        <f t="shared" si="26"/>
        <v>84.191995280734858</v>
      </c>
      <c r="E240">
        <f t="shared" si="27"/>
        <v>119401990541.78497</v>
      </c>
      <c r="F240" s="23">
        <f t="shared" si="20"/>
        <v>101.87231428968919</v>
      </c>
      <c r="G240">
        <f t="shared" si="28"/>
        <v>15.808004719265142</v>
      </c>
      <c r="H240">
        <f t="shared" si="29"/>
        <v>158.08004719265142</v>
      </c>
      <c r="J240">
        <f t="shared" si="21"/>
        <v>1194019906.9986503</v>
      </c>
      <c r="K240">
        <f t="shared" si="22"/>
        <v>995016589.16554201</v>
      </c>
      <c r="L240">
        <f t="shared" si="23"/>
        <v>99.99999986760686</v>
      </c>
    </row>
    <row r="241" spans="2:12">
      <c r="B241">
        <f t="shared" si="24"/>
        <v>10.353578016395483</v>
      </c>
      <c r="C241">
        <f t="shared" si="25"/>
        <v>5.1767890081977415</v>
      </c>
      <c r="D241">
        <f t="shared" si="26"/>
        <v>84.191995280734858</v>
      </c>
      <c r="E241">
        <f t="shared" si="27"/>
        <v>119401990541.78497</v>
      </c>
      <c r="F241" s="23">
        <f t="shared" si="20"/>
        <v>101.87231428968919</v>
      </c>
      <c r="G241">
        <f t="shared" si="28"/>
        <v>15.808004719265142</v>
      </c>
      <c r="H241">
        <f t="shared" si="29"/>
        <v>158.08004719265142</v>
      </c>
      <c r="J241">
        <f t="shared" si="21"/>
        <v>1194019906.9986503</v>
      </c>
      <c r="K241">
        <f t="shared" si="22"/>
        <v>995016589.16554201</v>
      </c>
      <c r="L241">
        <f t="shared" si="23"/>
        <v>99.99999986760686</v>
      </c>
    </row>
    <row r="242" spans="2:12">
      <c r="B242">
        <f t="shared" si="24"/>
        <v>10.353578016395483</v>
      </c>
      <c r="C242">
        <f t="shared" si="25"/>
        <v>5.1767890081977415</v>
      </c>
      <c r="D242">
        <f t="shared" si="26"/>
        <v>84.191995280734858</v>
      </c>
      <c r="E242">
        <f t="shared" si="27"/>
        <v>119401990541.78497</v>
      </c>
      <c r="F242" s="23">
        <f t="shared" si="20"/>
        <v>101.87231428968919</v>
      </c>
      <c r="G242">
        <f t="shared" si="28"/>
        <v>15.808004719265142</v>
      </c>
      <c r="H242">
        <f t="shared" si="29"/>
        <v>158.08004719265142</v>
      </c>
      <c r="J242">
        <f t="shared" si="21"/>
        <v>1194019906.9986503</v>
      </c>
      <c r="K242">
        <f t="shared" si="22"/>
        <v>995016589.16554201</v>
      </c>
      <c r="L242">
        <f t="shared" si="23"/>
        <v>99.99999986760686</v>
      </c>
    </row>
    <row r="243" spans="2:12">
      <c r="B243">
        <f t="shared" si="24"/>
        <v>10.353578016395483</v>
      </c>
      <c r="C243">
        <f t="shared" si="25"/>
        <v>5.1767890081977415</v>
      </c>
      <c r="D243">
        <f t="shared" si="26"/>
        <v>84.191995280734858</v>
      </c>
      <c r="E243">
        <f t="shared" si="27"/>
        <v>119401990541.78497</v>
      </c>
      <c r="F243" s="23">
        <f t="shared" si="20"/>
        <v>101.87231428968919</v>
      </c>
      <c r="G243">
        <f t="shared" si="28"/>
        <v>15.808004719265142</v>
      </c>
      <c r="H243">
        <f t="shared" si="29"/>
        <v>158.08004719265142</v>
      </c>
      <c r="J243">
        <f t="shared" si="21"/>
        <v>1194019906.9986503</v>
      </c>
      <c r="K243">
        <f t="shared" si="22"/>
        <v>995016589.16554201</v>
      </c>
      <c r="L243">
        <f t="shared" si="23"/>
        <v>99.99999986760686</v>
      </c>
    </row>
    <row r="244" spans="2:12">
      <c r="B244">
        <f t="shared" si="24"/>
        <v>10.353578016395483</v>
      </c>
      <c r="C244">
        <f t="shared" si="25"/>
        <v>5.1767890081977415</v>
      </c>
      <c r="D244">
        <f t="shared" si="26"/>
        <v>84.191995280734858</v>
      </c>
      <c r="E244">
        <f t="shared" si="27"/>
        <v>119401990541.78497</v>
      </c>
      <c r="F244" s="23">
        <f t="shared" si="20"/>
        <v>101.87231428968919</v>
      </c>
      <c r="G244">
        <f t="shared" si="28"/>
        <v>15.808004719265142</v>
      </c>
      <c r="H244">
        <f t="shared" si="29"/>
        <v>158.08004719265142</v>
      </c>
      <c r="J244">
        <f t="shared" si="21"/>
        <v>1194019906.9986503</v>
      </c>
      <c r="K244">
        <f t="shared" si="22"/>
        <v>995016589.16554201</v>
      </c>
      <c r="L244">
        <f t="shared" si="23"/>
        <v>99.99999986760686</v>
      </c>
    </row>
    <row r="245" spans="2:12">
      <c r="B245">
        <f t="shared" si="24"/>
        <v>10.353578016395483</v>
      </c>
      <c r="C245">
        <f t="shared" si="25"/>
        <v>5.1767890081977415</v>
      </c>
      <c r="D245">
        <f t="shared" si="26"/>
        <v>84.191995280734858</v>
      </c>
      <c r="E245">
        <f t="shared" si="27"/>
        <v>119401990541.78497</v>
      </c>
      <c r="F245" s="23">
        <f t="shared" si="20"/>
        <v>101.87231428968919</v>
      </c>
      <c r="G245">
        <f t="shared" si="28"/>
        <v>15.808004719265142</v>
      </c>
      <c r="H245">
        <f t="shared" si="29"/>
        <v>158.08004719265142</v>
      </c>
      <c r="J245">
        <f t="shared" si="21"/>
        <v>1194019906.9986503</v>
      </c>
      <c r="K245">
        <f t="shared" si="22"/>
        <v>995016589.16554201</v>
      </c>
      <c r="L245">
        <f t="shared" si="23"/>
        <v>99.99999986760686</v>
      </c>
    </row>
    <row r="246" spans="2:12">
      <c r="B246">
        <f t="shared" si="24"/>
        <v>10.353578016395483</v>
      </c>
      <c r="C246">
        <f t="shared" si="25"/>
        <v>5.1767890081977415</v>
      </c>
      <c r="D246">
        <f t="shared" si="26"/>
        <v>84.191995280734858</v>
      </c>
      <c r="E246">
        <f t="shared" si="27"/>
        <v>119401990541.78497</v>
      </c>
      <c r="F246" s="23">
        <f t="shared" si="20"/>
        <v>101.87231428968919</v>
      </c>
      <c r="G246">
        <f t="shared" si="28"/>
        <v>15.808004719265142</v>
      </c>
      <c r="H246">
        <f t="shared" si="29"/>
        <v>158.08004719265142</v>
      </c>
      <c r="J246">
        <f t="shared" si="21"/>
        <v>1194019906.9986503</v>
      </c>
      <c r="K246">
        <f t="shared" si="22"/>
        <v>995016589.16554201</v>
      </c>
      <c r="L246">
        <f t="shared" si="23"/>
        <v>99.99999986760686</v>
      </c>
    </row>
    <row r="247" spans="2:12">
      <c r="B247">
        <f t="shared" si="24"/>
        <v>10.353578016395483</v>
      </c>
      <c r="C247">
        <f t="shared" si="25"/>
        <v>5.1767890081977415</v>
      </c>
      <c r="D247">
        <f t="shared" si="26"/>
        <v>84.191995280734858</v>
      </c>
      <c r="E247">
        <f t="shared" si="27"/>
        <v>119401990541.78497</v>
      </c>
      <c r="F247" s="23">
        <f t="shared" si="20"/>
        <v>101.87231428968919</v>
      </c>
      <c r="G247">
        <f t="shared" si="28"/>
        <v>15.808004719265142</v>
      </c>
      <c r="H247">
        <f t="shared" si="29"/>
        <v>158.08004719265142</v>
      </c>
      <c r="J247">
        <f t="shared" si="21"/>
        <v>1194019906.9986503</v>
      </c>
      <c r="K247">
        <f t="shared" si="22"/>
        <v>995016589.16554201</v>
      </c>
      <c r="L247">
        <f t="shared" si="23"/>
        <v>99.99999986760686</v>
      </c>
    </row>
    <row r="248" spans="2:12">
      <c r="B248">
        <f t="shared" si="24"/>
        <v>10.353578016395483</v>
      </c>
      <c r="C248">
        <f t="shared" si="25"/>
        <v>5.1767890081977415</v>
      </c>
      <c r="D248">
        <f t="shared" si="26"/>
        <v>84.191995280734858</v>
      </c>
      <c r="E248">
        <f t="shared" si="27"/>
        <v>119401990541.78497</v>
      </c>
      <c r="F248" s="23">
        <f t="shared" si="20"/>
        <v>101.87231428968919</v>
      </c>
      <c r="G248">
        <f t="shared" si="28"/>
        <v>15.808004719265142</v>
      </c>
      <c r="H248">
        <f t="shared" si="29"/>
        <v>158.08004719265142</v>
      </c>
      <c r="J248">
        <f t="shared" si="21"/>
        <v>1194019906.9986503</v>
      </c>
      <c r="K248">
        <f t="shared" si="22"/>
        <v>995016589.16554201</v>
      </c>
      <c r="L248">
        <f t="shared" si="23"/>
        <v>99.99999986760686</v>
      </c>
    </row>
    <row r="249" spans="2:12">
      <c r="B249">
        <f t="shared" si="24"/>
        <v>10.353578016395483</v>
      </c>
      <c r="C249">
        <f t="shared" si="25"/>
        <v>5.1767890081977415</v>
      </c>
      <c r="D249">
        <f t="shared" si="26"/>
        <v>84.191995280734858</v>
      </c>
      <c r="E249">
        <f t="shared" si="27"/>
        <v>119401990541.78497</v>
      </c>
      <c r="F249" s="23">
        <f t="shared" si="20"/>
        <v>101.87231428968919</v>
      </c>
      <c r="G249">
        <f t="shared" si="28"/>
        <v>15.808004719265142</v>
      </c>
      <c r="H249">
        <f t="shared" si="29"/>
        <v>158.08004719265142</v>
      </c>
      <c r="J249">
        <f t="shared" si="21"/>
        <v>1194019906.9986503</v>
      </c>
      <c r="K249">
        <f t="shared" si="22"/>
        <v>995016589.16554201</v>
      </c>
      <c r="L249">
        <f t="shared" si="23"/>
        <v>99.99999986760686</v>
      </c>
    </row>
    <row r="250" spans="2:12">
      <c r="B250">
        <f t="shared" si="24"/>
        <v>10.353578016395483</v>
      </c>
      <c r="C250">
        <f t="shared" si="25"/>
        <v>5.1767890081977415</v>
      </c>
      <c r="D250">
        <f t="shared" si="26"/>
        <v>84.191995280734858</v>
      </c>
      <c r="E250">
        <f t="shared" si="27"/>
        <v>119401990541.78497</v>
      </c>
      <c r="F250" s="23">
        <f t="shared" si="20"/>
        <v>101.87231428968919</v>
      </c>
      <c r="G250">
        <f t="shared" si="28"/>
        <v>15.808004719265142</v>
      </c>
      <c r="H250">
        <f t="shared" si="29"/>
        <v>158.08004719265142</v>
      </c>
      <c r="J250">
        <f t="shared" si="21"/>
        <v>1194019906.9986503</v>
      </c>
      <c r="K250">
        <f t="shared" si="22"/>
        <v>995016589.16554201</v>
      </c>
      <c r="L250">
        <f t="shared" si="23"/>
        <v>99.99999986760686</v>
      </c>
    </row>
    <row r="251" spans="2:12">
      <c r="B251">
        <f t="shared" si="24"/>
        <v>10.353578016395483</v>
      </c>
      <c r="C251">
        <f t="shared" si="25"/>
        <v>5.1767890081977415</v>
      </c>
      <c r="D251">
        <f t="shared" si="26"/>
        <v>84.191995280734858</v>
      </c>
      <c r="E251">
        <f t="shared" si="27"/>
        <v>119401990541.78497</v>
      </c>
      <c r="F251" s="23">
        <f t="shared" si="20"/>
        <v>101.87231428968919</v>
      </c>
      <c r="G251">
        <f t="shared" si="28"/>
        <v>15.808004719265142</v>
      </c>
      <c r="H251">
        <f t="shared" si="29"/>
        <v>158.08004719265142</v>
      </c>
      <c r="J251">
        <f t="shared" si="21"/>
        <v>1194019906.9986503</v>
      </c>
      <c r="K251">
        <f t="shared" si="22"/>
        <v>995016589.16554201</v>
      </c>
      <c r="L251">
        <f t="shared" si="23"/>
        <v>99.99999986760686</v>
      </c>
    </row>
    <row r="252" spans="2:12">
      <c r="B252">
        <f t="shared" si="24"/>
        <v>10.353578016395483</v>
      </c>
      <c r="C252">
        <f t="shared" si="25"/>
        <v>5.1767890081977415</v>
      </c>
      <c r="D252">
        <f t="shared" si="26"/>
        <v>84.191995280734858</v>
      </c>
      <c r="E252">
        <f t="shared" si="27"/>
        <v>119401990541.78497</v>
      </c>
      <c r="F252" s="23">
        <f t="shared" si="20"/>
        <v>101.87231428968919</v>
      </c>
      <c r="G252">
        <f t="shared" si="28"/>
        <v>15.808004719265142</v>
      </c>
      <c r="H252">
        <f t="shared" si="29"/>
        <v>158.08004719265142</v>
      </c>
      <c r="J252">
        <f t="shared" si="21"/>
        <v>1194019906.9986503</v>
      </c>
      <c r="K252">
        <f t="shared" si="22"/>
        <v>995016589.16554201</v>
      </c>
      <c r="L252">
        <f t="shared" si="23"/>
        <v>99.99999986760686</v>
      </c>
    </row>
    <row r="253" spans="2:12">
      <c r="B253">
        <f t="shared" si="24"/>
        <v>10.353578016395483</v>
      </c>
      <c r="C253">
        <f t="shared" si="25"/>
        <v>5.1767890081977415</v>
      </c>
      <c r="D253">
        <f t="shared" si="26"/>
        <v>84.191995280734858</v>
      </c>
      <c r="E253">
        <f t="shared" si="27"/>
        <v>119401990541.78497</v>
      </c>
      <c r="F253" s="23">
        <f t="shared" si="20"/>
        <v>101.87231428968919</v>
      </c>
      <c r="G253">
        <f t="shared" si="28"/>
        <v>15.808004719265142</v>
      </c>
      <c r="H253">
        <f t="shared" si="29"/>
        <v>158.08004719265142</v>
      </c>
      <c r="J253">
        <f t="shared" si="21"/>
        <v>1194019906.9986503</v>
      </c>
      <c r="K253">
        <f t="shared" si="22"/>
        <v>995016589.16554201</v>
      </c>
      <c r="L253">
        <f t="shared" si="23"/>
        <v>99.99999986760686</v>
      </c>
    </row>
    <row r="254" spans="2:12">
      <c r="B254">
        <f t="shared" si="24"/>
        <v>10.353578016395483</v>
      </c>
      <c r="C254">
        <f t="shared" si="25"/>
        <v>5.1767890081977415</v>
      </c>
      <c r="D254">
        <f t="shared" si="26"/>
        <v>84.191995280734858</v>
      </c>
      <c r="E254">
        <f t="shared" si="27"/>
        <v>119401990541.78497</v>
      </c>
      <c r="F254" s="23">
        <f t="shared" si="20"/>
        <v>101.87231428968919</v>
      </c>
      <c r="G254">
        <f t="shared" si="28"/>
        <v>15.808004719265142</v>
      </c>
      <c r="H254">
        <f t="shared" si="29"/>
        <v>158.08004719265142</v>
      </c>
      <c r="J254">
        <f t="shared" si="21"/>
        <v>1194019906.9986503</v>
      </c>
      <c r="K254">
        <f t="shared" si="22"/>
        <v>995016589.16554201</v>
      </c>
      <c r="L254">
        <f t="shared" si="23"/>
        <v>99.99999986760686</v>
      </c>
    </row>
    <row r="255" spans="2:12">
      <c r="B255">
        <f t="shared" si="24"/>
        <v>10.353578016395483</v>
      </c>
      <c r="C255">
        <f t="shared" si="25"/>
        <v>5.1767890081977415</v>
      </c>
      <c r="D255">
        <f t="shared" si="26"/>
        <v>84.191995280734858</v>
      </c>
      <c r="E255">
        <f t="shared" si="27"/>
        <v>119401990541.78497</v>
      </c>
      <c r="F255" s="23">
        <f t="shared" si="20"/>
        <v>101.87231428968919</v>
      </c>
      <c r="G255">
        <f t="shared" si="28"/>
        <v>15.808004719265142</v>
      </c>
      <c r="H255">
        <f t="shared" si="29"/>
        <v>158.08004719265142</v>
      </c>
      <c r="J255">
        <f t="shared" si="21"/>
        <v>1194019906.9986503</v>
      </c>
      <c r="K255">
        <f t="shared" si="22"/>
        <v>995016589.16554201</v>
      </c>
      <c r="L255">
        <f t="shared" si="23"/>
        <v>99.99999986760686</v>
      </c>
    </row>
    <row r="256" spans="2:12">
      <c r="B256">
        <f t="shared" si="24"/>
        <v>10.353578016395483</v>
      </c>
      <c r="C256">
        <f t="shared" si="25"/>
        <v>5.1767890081977415</v>
      </c>
      <c r="D256">
        <f t="shared" si="26"/>
        <v>84.191995280734858</v>
      </c>
      <c r="E256">
        <f t="shared" si="27"/>
        <v>119401990541.78497</v>
      </c>
      <c r="F256" s="23">
        <f t="shared" si="20"/>
        <v>101.87231428968919</v>
      </c>
      <c r="G256">
        <f t="shared" si="28"/>
        <v>15.808004719265142</v>
      </c>
      <c r="H256">
        <f t="shared" si="29"/>
        <v>158.08004719265142</v>
      </c>
      <c r="J256">
        <f t="shared" si="21"/>
        <v>1194019906.9986503</v>
      </c>
      <c r="K256">
        <f t="shared" si="22"/>
        <v>995016589.16554201</v>
      </c>
      <c r="L256">
        <f t="shared" si="23"/>
        <v>99.99999986760686</v>
      </c>
    </row>
    <row r="257" spans="2:12">
      <c r="B257">
        <f t="shared" si="24"/>
        <v>10.353578016395483</v>
      </c>
      <c r="C257">
        <f t="shared" si="25"/>
        <v>5.1767890081977415</v>
      </c>
      <c r="D257">
        <f t="shared" si="26"/>
        <v>84.191995280734858</v>
      </c>
      <c r="E257">
        <f t="shared" si="27"/>
        <v>119401990541.78497</v>
      </c>
      <c r="F257" s="23">
        <f t="shared" si="20"/>
        <v>101.87231428968919</v>
      </c>
      <c r="G257">
        <f t="shared" si="28"/>
        <v>15.808004719265142</v>
      </c>
      <c r="H257">
        <f t="shared" si="29"/>
        <v>158.08004719265142</v>
      </c>
      <c r="J257">
        <f t="shared" si="21"/>
        <v>1194019906.9986503</v>
      </c>
      <c r="K257">
        <f t="shared" si="22"/>
        <v>995016589.16554201</v>
      </c>
      <c r="L257">
        <f t="shared" si="23"/>
        <v>99.99999986760686</v>
      </c>
    </row>
    <row r="258" spans="2:12">
      <c r="B258">
        <f t="shared" si="24"/>
        <v>10.353578016395483</v>
      </c>
      <c r="C258">
        <f t="shared" si="25"/>
        <v>5.1767890081977415</v>
      </c>
      <c r="D258">
        <f t="shared" si="26"/>
        <v>84.191995280734858</v>
      </c>
      <c r="E258">
        <f t="shared" si="27"/>
        <v>119401990541.78497</v>
      </c>
      <c r="F258" s="23">
        <f t="shared" si="20"/>
        <v>101.87231428968919</v>
      </c>
      <c r="G258">
        <f t="shared" si="28"/>
        <v>15.808004719265142</v>
      </c>
      <c r="H258">
        <f t="shared" si="29"/>
        <v>158.08004719265142</v>
      </c>
      <c r="J258">
        <f t="shared" si="21"/>
        <v>1194019906.9986503</v>
      </c>
      <c r="K258">
        <f t="shared" si="22"/>
        <v>995016589.16554201</v>
      </c>
      <c r="L258">
        <f t="shared" si="23"/>
        <v>99.99999986760686</v>
      </c>
    </row>
    <row r="259" spans="2:12">
      <c r="B259">
        <f t="shared" si="24"/>
        <v>10.353578016395483</v>
      </c>
      <c r="C259">
        <f t="shared" si="25"/>
        <v>5.1767890081977415</v>
      </c>
      <c r="D259">
        <f t="shared" si="26"/>
        <v>84.191995280734858</v>
      </c>
      <c r="E259">
        <f t="shared" si="27"/>
        <v>119401990541.78497</v>
      </c>
      <c r="F259" s="23">
        <f t="shared" si="20"/>
        <v>101.87231428968919</v>
      </c>
      <c r="G259">
        <f t="shared" si="28"/>
        <v>15.808004719265142</v>
      </c>
      <c r="H259">
        <f t="shared" si="29"/>
        <v>158.08004719265142</v>
      </c>
      <c r="J259">
        <f t="shared" si="21"/>
        <v>1194019906.9986503</v>
      </c>
      <c r="K259">
        <f t="shared" si="22"/>
        <v>995016589.16554201</v>
      </c>
      <c r="L259">
        <f t="shared" si="23"/>
        <v>99.99999986760686</v>
      </c>
    </row>
    <row r="260" spans="2:12">
      <c r="B260">
        <f t="shared" si="24"/>
        <v>10.353578016395483</v>
      </c>
      <c r="C260">
        <f t="shared" si="25"/>
        <v>5.1767890081977415</v>
      </c>
      <c r="D260">
        <f t="shared" si="26"/>
        <v>84.191995280734858</v>
      </c>
      <c r="E260">
        <f t="shared" si="27"/>
        <v>119401990541.78497</v>
      </c>
      <c r="F260" s="23">
        <f t="shared" si="20"/>
        <v>101.87231428968919</v>
      </c>
      <c r="G260">
        <f t="shared" si="28"/>
        <v>15.808004719265142</v>
      </c>
      <c r="H260">
        <f t="shared" si="29"/>
        <v>158.08004719265142</v>
      </c>
      <c r="J260">
        <f t="shared" si="21"/>
        <v>1194019906.9986503</v>
      </c>
      <c r="K260">
        <f t="shared" si="22"/>
        <v>995016589.16554201</v>
      </c>
      <c r="L260">
        <f t="shared" si="23"/>
        <v>99.99999986760686</v>
      </c>
    </row>
    <row r="261" spans="2:12">
      <c r="B261">
        <f t="shared" si="24"/>
        <v>10.353578016395483</v>
      </c>
      <c r="C261">
        <f t="shared" si="25"/>
        <v>5.1767890081977415</v>
      </c>
      <c r="D261">
        <f t="shared" si="26"/>
        <v>84.191995280734858</v>
      </c>
      <c r="E261">
        <f t="shared" si="27"/>
        <v>119401990541.78497</v>
      </c>
      <c r="F261" s="23">
        <f t="shared" si="20"/>
        <v>101.87231428968919</v>
      </c>
      <c r="G261">
        <f t="shared" si="28"/>
        <v>15.808004719265142</v>
      </c>
      <c r="H261">
        <f t="shared" si="29"/>
        <v>158.08004719265142</v>
      </c>
      <c r="J261">
        <f t="shared" si="21"/>
        <v>1194019906.9986503</v>
      </c>
      <c r="K261">
        <f t="shared" si="22"/>
        <v>995016589.16554201</v>
      </c>
      <c r="L261">
        <f t="shared" si="23"/>
        <v>99.99999986760686</v>
      </c>
    </row>
    <row r="262" spans="2:12">
      <c r="B262">
        <f t="shared" si="24"/>
        <v>10.353578016395483</v>
      </c>
      <c r="C262">
        <f t="shared" si="25"/>
        <v>5.1767890081977415</v>
      </c>
      <c r="D262">
        <f t="shared" si="26"/>
        <v>84.191995280734858</v>
      </c>
      <c r="E262">
        <f t="shared" si="27"/>
        <v>119401990541.78497</v>
      </c>
      <c r="F262" s="23">
        <f t="shared" si="20"/>
        <v>101.87231428968919</v>
      </c>
      <c r="G262">
        <f t="shared" si="28"/>
        <v>15.808004719265142</v>
      </c>
      <c r="H262">
        <f t="shared" si="29"/>
        <v>158.08004719265142</v>
      </c>
      <c r="J262">
        <f t="shared" si="21"/>
        <v>1194019906.9986503</v>
      </c>
      <c r="K262">
        <f t="shared" si="22"/>
        <v>995016589.16554201</v>
      </c>
      <c r="L262">
        <f t="shared" si="23"/>
        <v>99.99999986760686</v>
      </c>
    </row>
    <row r="263" spans="2:12">
      <c r="B263">
        <f t="shared" si="24"/>
        <v>10.353578016395483</v>
      </c>
      <c r="C263">
        <f t="shared" si="25"/>
        <v>5.1767890081977415</v>
      </c>
      <c r="D263">
        <f t="shared" si="26"/>
        <v>84.191995280734858</v>
      </c>
      <c r="E263">
        <f t="shared" si="27"/>
        <v>119401990541.78497</v>
      </c>
      <c r="F263" s="23">
        <f t="shared" si="20"/>
        <v>101.87231428968919</v>
      </c>
      <c r="G263">
        <f t="shared" si="28"/>
        <v>15.808004719265142</v>
      </c>
      <c r="H263">
        <f t="shared" si="29"/>
        <v>158.08004719265142</v>
      </c>
      <c r="J263">
        <f t="shared" si="21"/>
        <v>1194019906.9986503</v>
      </c>
      <c r="K263">
        <f t="shared" si="22"/>
        <v>995016589.16554201</v>
      </c>
      <c r="L263">
        <f t="shared" si="23"/>
        <v>99.99999986760686</v>
      </c>
    </row>
    <row r="264" spans="2:12">
      <c r="B264">
        <f t="shared" si="24"/>
        <v>10.353578016395483</v>
      </c>
      <c r="C264">
        <f t="shared" si="25"/>
        <v>5.1767890081977415</v>
      </c>
      <c r="D264">
        <f t="shared" si="26"/>
        <v>84.191995280734858</v>
      </c>
      <c r="E264">
        <f t="shared" si="27"/>
        <v>119401990541.78497</v>
      </c>
      <c r="F264" s="23">
        <f t="shared" si="20"/>
        <v>101.87231428968919</v>
      </c>
      <c r="G264">
        <f t="shared" si="28"/>
        <v>15.808004719265142</v>
      </c>
      <c r="H264">
        <f t="shared" si="29"/>
        <v>158.08004719265142</v>
      </c>
      <c r="J264">
        <f t="shared" si="21"/>
        <v>1194019906.9986503</v>
      </c>
      <c r="K264">
        <f t="shared" si="22"/>
        <v>995016589.16554201</v>
      </c>
      <c r="L264">
        <f t="shared" si="23"/>
        <v>99.99999986760686</v>
      </c>
    </row>
    <row r="265" spans="2:12">
      <c r="B265">
        <f t="shared" si="24"/>
        <v>10.353578016395483</v>
      </c>
      <c r="C265">
        <f t="shared" si="25"/>
        <v>5.1767890081977415</v>
      </c>
      <c r="D265">
        <f t="shared" si="26"/>
        <v>84.191995280734858</v>
      </c>
      <c r="E265">
        <f t="shared" si="27"/>
        <v>119401990541.78497</v>
      </c>
      <c r="F265" s="23">
        <f t="shared" si="20"/>
        <v>101.87231428968919</v>
      </c>
      <c r="G265">
        <f t="shared" si="28"/>
        <v>15.808004719265142</v>
      </c>
      <c r="H265">
        <f t="shared" si="29"/>
        <v>158.08004719265142</v>
      </c>
      <c r="J265">
        <f t="shared" si="21"/>
        <v>1194019906.9986503</v>
      </c>
      <c r="K265">
        <f t="shared" si="22"/>
        <v>995016589.16554201</v>
      </c>
      <c r="L265">
        <f t="shared" si="23"/>
        <v>99.99999986760686</v>
      </c>
    </row>
    <row r="266" spans="2:12">
      <c r="B266">
        <f t="shared" si="24"/>
        <v>10.353578016395483</v>
      </c>
      <c r="C266">
        <f t="shared" si="25"/>
        <v>5.1767890081977415</v>
      </c>
      <c r="D266">
        <f t="shared" si="26"/>
        <v>84.191995280734858</v>
      </c>
      <c r="E266">
        <f t="shared" si="27"/>
        <v>119401990541.78497</v>
      </c>
      <c r="F266" s="23">
        <f t="shared" ref="F266:F328" si="30">(B265*1.1/2)^2*PI()</f>
        <v>101.87231428968919</v>
      </c>
      <c r="G266">
        <f t="shared" si="28"/>
        <v>15.808004719265142</v>
      </c>
      <c r="H266">
        <f t="shared" si="29"/>
        <v>158.08004719265142</v>
      </c>
      <c r="J266">
        <f t="shared" si="21"/>
        <v>1194019906.9986503</v>
      </c>
      <c r="K266">
        <f t="shared" si="22"/>
        <v>995016589.16554201</v>
      </c>
      <c r="L266">
        <f t="shared" si="23"/>
        <v>99.99999986760686</v>
      </c>
    </row>
    <row r="267" spans="2:12">
      <c r="B267">
        <f t="shared" si="24"/>
        <v>10.353578016395483</v>
      </c>
      <c r="C267">
        <f t="shared" si="25"/>
        <v>5.1767890081977415</v>
      </c>
      <c r="D267">
        <f t="shared" si="26"/>
        <v>84.191995280734858</v>
      </c>
      <c r="E267">
        <f t="shared" si="27"/>
        <v>119401990541.78497</v>
      </c>
      <c r="F267" s="23">
        <f t="shared" si="30"/>
        <v>101.87231428968919</v>
      </c>
      <c r="G267">
        <f t="shared" si="28"/>
        <v>15.808004719265142</v>
      </c>
      <c r="H267">
        <f t="shared" si="29"/>
        <v>158.08004719265142</v>
      </c>
      <c r="J267">
        <f t="shared" si="21"/>
        <v>1194019906.9986503</v>
      </c>
      <c r="K267">
        <f t="shared" si="22"/>
        <v>995016589.16554201</v>
      </c>
      <c r="L267">
        <f t="shared" si="23"/>
        <v>99.99999986760686</v>
      </c>
    </row>
    <row r="268" spans="2:12">
      <c r="B268">
        <f t="shared" si="24"/>
        <v>10.353578016395483</v>
      </c>
      <c r="C268">
        <f t="shared" si="25"/>
        <v>5.1767890081977415</v>
      </c>
      <c r="D268">
        <f t="shared" si="26"/>
        <v>84.191995280734858</v>
      </c>
      <c r="E268">
        <f t="shared" si="27"/>
        <v>119401990541.78497</v>
      </c>
      <c r="F268" s="23">
        <f t="shared" si="30"/>
        <v>101.87231428968919</v>
      </c>
      <c r="G268">
        <f t="shared" si="28"/>
        <v>15.808004719265142</v>
      </c>
      <c r="H268">
        <f t="shared" si="29"/>
        <v>158.08004719265142</v>
      </c>
      <c r="J268">
        <f t="shared" si="21"/>
        <v>1194019906.9986503</v>
      </c>
      <c r="K268">
        <f t="shared" si="22"/>
        <v>995016589.16554201</v>
      </c>
      <c r="L268">
        <f t="shared" si="23"/>
        <v>99.99999986760686</v>
      </c>
    </row>
    <row r="269" spans="2:12">
      <c r="B269">
        <f t="shared" si="24"/>
        <v>10.353578016395483</v>
      </c>
      <c r="C269">
        <f t="shared" si="25"/>
        <v>5.1767890081977415</v>
      </c>
      <c r="D269">
        <f t="shared" si="26"/>
        <v>84.191995280734858</v>
      </c>
      <c r="E269">
        <f t="shared" si="27"/>
        <v>119401990541.78497</v>
      </c>
      <c r="F269" s="23">
        <f t="shared" si="30"/>
        <v>101.87231428968919</v>
      </c>
      <c r="G269">
        <f t="shared" si="28"/>
        <v>15.808004719265142</v>
      </c>
      <c r="H269">
        <f t="shared" si="29"/>
        <v>158.08004719265142</v>
      </c>
      <c r="J269">
        <f t="shared" si="21"/>
        <v>1194019906.9986503</v>
      </c>
      <c r="K269">
        <f t="shared" si="22"/>
        <v>995016589.16554201</v>
      </c>
      <c r="L269">
        <f t="shared" si="23"/>
        <v>99.99999986760686</v>
      </c>
    </row>
    <row r="270" spans="2:12">
      <c r="B270">
        <f t="shared" si="24"/>
        <v>10.353578016395483</v>
      </c>
      <c r="C270">
        <f t="shared" si="25"/>
        <v>5.1767890081977415</v>
      </c>
      <c r="D270">
        <f t="shared" si="26"/>
        <v>84.191995280734858</v>
      </c>
      <c r="E270">
        <f t="shared" si="27"/>
        <v>119401990541.78497</v>
      </c>
      <c r="F270" s="23">
        <f t="shared" si="30"/>
        <v>101.87231428968919</v>
      </c>
      <c r="G270">
        <f t="shared" si="28"/>
        <v>15.808004719265142</v>
      </c>
      <c r="H270">
        <f t="shared" si="29"/>
        <v>158.08004719265142</v>
      </c>
      <c r="J270">
        <f t="shared" si="21"/>
        <v>1194019906.9986503</v>
      </c>
      <c r="K270">
        <f t="shared" si="22"/>
        <v>995016589.16554201</v>
      </c>
      <c r="L270">
        <f t="shared" si="23"/>
        <v>99.99999986760686</v>
      </c>
    </row>
    <row r="271" spans="2:12">
      <c r="B271">
        <f t="shared" si="24"/>
        <v>10.353578016395483</v>
      </c>
      <c r="C271">
        <f t="shared" si="25"/>
        <v>5.1767890081977415</v>
      </c>
      <c r="D271">
        <f t="shared" si="26"/>
        <v>84.191995280734858</v>
      </c>
      <c r="E271">
        <f t="shared" si="27"/>
        <v>119401990541.78497</v>
      </c>
      <c r="F271" s="23">
        <f t="shared" si="30"/>
        <v>101.87231428968919</v>
      </c>
      <c r="G271">
        <f t="shared" si="28"/>
        <v>15.808004719265142</v>
      </c>
      <c r="H271">
        <f t="shared" si="29"/>
        <v>158.08004719265142</v>
      </c>
      <c r="J271">
        <f t="shared" si="21"/>
        <v>1194019906.9986503</v>
      </c>
      <c r="K271">
        <f t="shared" si="22"/>
        <v>995016589.16554201</v>
      </c>
      <c r="L271">
        <f t="shared" si="23"/>
        <v>99.99999986760686</v>
      </c>
    </row>
    <row r="272" spans="2:12">
      <c r="B272">
        <f t="shared" si="24"/>
        <v>10.353578016395483</v>
      </c>
      <c r="C272">
        <f t="shared" si="25"/>
        <v>5.1767890081977415</v>
      </c>
      <c r="D272">
        <f t="shared" si="26"/>
        <v>84.191995280734858</v>
      </c>
      <c r="E272">
        <f t="shared" si="27"/>
        <v>119401990541.78497</v>
      </c>
      <c r="F272" s="23">
        <f t="shared" si="30"/>
        <v>101.87231428968919</v>
      </c>
      <c r="G272">
        <f t="shared" si="28"/>
        <v>15.808004719265142</v>
      </c>
      <c r="H272">
        <f t="shared" si="29"/>
        <v>158.08004719265142</v>
      </c>
      <c r="J272">
        <f t="shared" si="21"/>
        <v>1194019906.9986503</v>
      </c>
      <c r="K272">
        <f t="shared" si="22"/>
        <v>995016589.16554201</v>
      </c>
      <c r="L272">
        <f t="shared" si="23"/>
        <v>99.99999986760686</v>
      </c>
    </row>
    <row r="273" spans="2:12">
      <c r="B273">
        <f t="shared" si="24"/>
        <v>10.353578016395483</v>
      </c>
      <c r="C273">
        <f t="shared" si="25"/>
        <v>5.1767890081977415</v>
      </c>
      <c r="D273">
        <f t="shared" si="26"/>
        <v>84.191995280734858</v>
      </c>
      <c r="E273">
        <f t="shared" si="27"/>
        <v>119401990541.78497</v>
      </c>
      <c r="F273" s="23">
        <f t="shared" si="30"/>
        <v>101.87231428968919</v>
      </c>
      <c r="G273">
        <f t="shared" si="28"/>
        <v>15.808004719265142</v>
      </c>
      <c r="H273">
        <f t="shared" si="29"/>
        <v>158.08004719265142</v>
      </c>
      <c r="J273">
        <f t="shared" si="21"/>
        <v>1194019906.9986503</v>
      </c>
      <c r="K273">
        <f t="shared" si="22"/>
        <v>995016589.16554201</v>
      </c>
      <c r="L273">
        <f t="shared" si="23"/>
        <v>99.99999986760686</v>
      </c>
    </row>
    <row r="274" spans="2:12">
      <c r="B274">
        <f t="shared" si="24"/>
        <v>10.353578016395483</v>
      </c>
      <c r="C274">
        <f t="shared" si="25"/>
        <v>5.1767890081977415</v>
      </c>
      <c r="D274">
        <f t="shared" si="26"/>
        <v>84.191995280734858</v>
      </c>
      <c r="E274">
        <f t="shared" si="27"/>
        <v>119401990541.78497</v>
      </c>
      <c r="F274" s="23">
        <f t="shared" si="30"/>
        <v>101.87231428968919</v>
      </c>
      <c r="G274">
        <f t="shared" si="28"/>
        <v>15.808004719265142</v>
      </c>
      <c r="H274">
        <f t="shared" si="29"/>
        <v>158.08004719265142</v>
      </c>
      <c r="J274">
        <f t="shared" si="21"/>
        <v>1194019906.9986503</v>
      </c>
      <c r="K274">
        <f t="shared" si="22"/>
        <v>995016589.16554201</v>
      </c>
      <c r="L274">
        <f t="shared" si="23"/>
        <v>99.99999986760686</v>
      </c>
    </row>
    <row r="275" spans="2:12">
      <c r="B275">
        <f t="shared" si="24"/>
        <v>10.353578016395483</v>
      </c>
      <c r="C275">
        <f t="shared" si="25"/>
        <v>5.1767890081977415</v>
      </c>
      <c r="D275">
        <f t="shared" si="26"/>
        <v>84.191995280734858</v>
      </c>
      <c r="E275">
        <f t="shared" si="27"/>
        <v>119401990541.78497</v>
      </c>
      <c r="F275" s="23">
        <f t="shared" si="30"/>
        <v>101.87231428968919</v>
      </c>
      <c r="G275">
        <f t="shared" si="28"/>
        <v>15.808004719265142</v>
      </c>
      <c r="H275">
        <f t="shared" si="29"/>
        <v>158.08004719265142</v>
      </c>
      <c r="J275">
        <f t="shared" si="21"/>
        <v>1194019906.9986503</v>
      </c>
      <c r="K275">
        <f t="shared" si="22"/>
        <v>995016589.16554201</v>
      </c>
      <c r="L275">
        <f t="shared" si="23"/>
        <v>99.99999986760686</v>
      </c>
    </row>
    <row r="276" spans="2:12">
      <c r="B276">
        <f t="shared" si="24"/>
        <v>10.353578016395483</v>
      </c>
      <c r="C276">
        <f t="shared" si="25"/>
        <v>5.1767890081977415</v>
      </c>
      <c r="D276">
        <f t="shared" si="26"/>
        <v>84.191995280734858</v>
      </c>
      <c r="E276">
        <f t="shared" si="27"/>
        <v>119401990541.78497</v>
      </c>
      <c r="F276" s="23">
        <f t="shared" si="30"/>
        <v>101.87231428968919</v>
      </c>
      <c r="G276">
        <f t="shared" si="28"/>
        <v>15.808004719265142</v>
      </c>
      <c r="H276">
        <f t="shared" si="29"/>
        <v>158.08004719265142</v>
      </c>
      <c r="J276">
        <f t="shared" si="21"/>
        <v>1194019906.9986503</v>
      </c>
      <c r="K276">
        <f t="shared" si="22"/>
        <v>995016589.16554201</v>
      </c>
      <c r="L276">
        <f t="shared" si="23"/>
        <v>99.99999986760686</v>
      </c>
    </row>
    <row r="277" spans="2:12">
      <c r="B277">
        <f t="shared" si="24"/>
        <v>10.353578016395483</v>
      </c>
      <c r="C277">
        <f t="shared" si="25"/>
        <v>5.1767890081977415</v>
      </c>
      <c r="D277">
        <f t="shared" si="26"/>
        <v>84.191995280734858</v>
      </c>
      <c r="E277">
        <f t="shared" si="27"/>
        <v>119401990541.78497</v>
      </c>
      <c r="F277" s="23">
        <f t="shared" si="30"/>
        <v>101.87231428968919</v>
      </c>
      <c r="G277">
        <f t="shared" si="28"/>
        <v>15.808004719265142</v>
      </c>
      <c r="H277">
        <f t="shared" si="29"/>
        <v>158.08004719265142</v>
      </c>
      <c r="J277">
        <f t="shared" si="21"/>
        <v>1194019906.9986503</v>
      </c>
      <c r="K277">
        <f t="shared" si="22"/>
        <v>995016589.16554201</v>
      </c>
      <c r="L277">
        <f t="shared" si="23"/>
        <v>99.99999986760686</v>
      </c>
    </row>
    <row r="278" spans="2:12">
      <c r="B278">
        <f t="shared" si="24"/>
        <v>10.353578016395483</v>
      </c>
      <c r="C278">
        <f t="shared" si="25"/>
        <v>5.1767890081977415</v>
      </c>
      <c r="D278">
        <f t="shared" si="26"/>
        <v>84.191995280734858</v>
      </c>
      <c r="E278">
        <f t="shared" si="27"/>
        <v>119401990541.78497</v>
      </c>
      <c r="F278" s="23">
        <f t="shared" si="30"/>
        <v>101.87231428968919</v>
      </c>
      <c r="G278">
        <f t="shared" si="28"/>
        <v>15.808004719265142</v>
      </c>
      <c r="H278">
        <f t="shared" si="29"/>
        <v>158.08004719265142</v>
      </c>
      <c r="J278">
        <f t="shared" si="21"/>
        <v>1194019906.9986503</v>
      </c>
      <c r="K278">
        <f t="shared" si="22"/>
        <v>995016589.16554201</v>
      </c>
      <c r="L278">
        <f t="shared" si="23"/>
        <v>99.99999986760686</v>
      </c>
    </row>
    <row r="279" spans="2:12">
      <c r="B279">
        <f t="shared" si="24"/>
        <v>10.353578016395483</v>
      </c>
      <c r="C279">
        <f t="shared" si="25"/>
        <v>5.1767890081977415</v>
      </c>
      <c r="D279">
        <f t="shared" si="26"/>
        <v>84.191995280734858</v>
      </c>
      <c r="E279">
        <f t="shared" si="27"/>
        <v>119401990541.78497</v>
      </c>
      <c r="F279" s="23">
        <f t="shared" si="30"/>
        <v>101.87231428968919</v>
      </c>
      <c r="G279">
        <f t="shared" si="28"/>
        <v>15.808004719265142</v>
      </c>
      <c r="H279">
        <f t="shared" si="29"/>
        <v>158.08004719265142</v>
      </c>
      <c r="J279">
        <f t="shared" si="21"/>
        <v>1194019906.9986503</v>
      </c>
      <c r="K279">
        <f t="shared" si="22"/>
        <v>995016589.16554201</v>
      </c>
      <c r="L279">
        <f t="shared" si="23"/>
        <v>99.99999986760686</v>
      </c>
    </row>
    <row r="280" spans="2:12">
      <c r="B280">
        <f t="shared" si="24"/>
        <v>10.353578016395483</v>
      </c>
      <c r="C280">
        <f t="shared" si="25"/>
        <v>5.1767890081977415</v>
      </c>
      <c r="D280">
        <f t="shared" si="26"/>
        <v>84.191995280734858</v>
      </c>
      <c r="E280">
        <f t="shared" si="27"/>
        <v>119401990541.78497</v>
      </c>
      <c r="F280" s="23">
        <f t="shared" si="30"/>
        <v>101.87231428968919</v>
      </c>
      <c r="G280">
        <f t="shared" si="28"/>
        <v>15.808004719265142</v>
      </c>
      <c r="H280">
        <f t="shared" si="29"/>
        <v>158.08004719265142</v>
      </c>
      <c r="J280">
        <f t="shared" si="21"/>
        <v>1194019906.9986503</v>
      </c>
      <c r="K280">
        <f t="shared" si="22"/>
        <v>995016589.16554201</v>
      </c>
      <c r="L280">
        <f t="shared" si="23"/>
        <v>99.99999986760686</v>
      </c>
    </row>
    <row r="281" spans="2:12">
      <c r="B281">
        <f t="shared" si="24"/>
        <v>10.353578016395483</v>
      </c>
      <c r="C281">
        <f t="shared" si="25"/>
        <v>5.1767890081977415</v>
      </c>
      <c r="D281">
        <f t="shared" si="26"/>
        <v>84.191995280734858</v>
      </c>
      <c r="E281">
        <f t="shared" si="27"/>
        <v>119401990541.78497</v>
      </c>
      <c r="F281" s="23">
        <f t="shared" si="30"/>
        <v>101.87231428968919</v>
      </c>
      <c r="G281">
        <f t="shared" si="28"/>
        <v>15.808004719265142</v>
      </c>
      <c r="H281">
        <f t="shared" si="29"/>
        <v>158.08004719265142</v>
      </c>
      <c r="J281">
        <f t="shared" si="21"/>
        <v>1194019906.9986503</v>
      </c>
      <c r="K281">
        <f t="shared" si="22"/>
        <v>995016589.16554201</v>
      </c>
      <c r="L281">
        <f t="shared" si="23"/>
        <v>99.99999986760686</v>
      </c>
    </row>
    <row r="282" spans="2:12">
      <c r="B282">
        <f t="shared" si="24"/>
        <v>10.353578016395483</v>
      </c>
      <c r="C282">
        <f t="shared" si="25"/>
        <v>5.1767890081977415</v>
      </c>
      <c r="D282">
        <f t="shared" si="26"/>
        <v>84.191995280734858</v>
      </c>
      <c r="E282">
        <f t="shared" si="27"/>
        <v>119401990541.78497</v>
      </c>
      <c r="F282" s="23">
        <f t="shared" si="30"/>
        <v>101.87231428968919</v>
      </c>
      <c r="G282">
        <f t="shared" si="28"/>
        <v>15.808004719265142</v>
      </c>
      <c r="H282">
        <f t="shared" si="29"/>
        <v>158.08004719265142</v>
      </c>
      <c r="J282">
        <f t="shared" si="21"/>
        <v>1194019906.9986503</v>
      </c>
      <c r="K282">
        <f t="shared" si="22"/>
        <v>995016589.16554201</v>
      </c>
      <c r="L282">
        <f t="shared" si="23"/>
        <v>99.99999986760686</v>
      </c>
    </row>
    <row r="283" spans="2:12">
      <c r="B283">
        <f t="shared" si="24"/>
        <v>10.353578016395483</v>
      </c>
      <c r="C283">
        <f t="shared" si="25"/>
        <v>5.1767890081977415</v>
      </c>
      <c r="D283">
        <f t="shared" si="26"/>
        <v>84.191995280734858</v>
      </c>
      <c r="E283">
        <f t="shared" si="27"/>
        <v>119401990541.78497</v>
      </c>
      <c r="F283" s="23">
        <f t="shared" si="30"/>
        <v>101.87231428968919</v>
      </c>
      <c r="G283">
        <f t="shared" si="28"/>
        <v>15.808004719265142</v>
      </c>
      <c r="H283">
        <f t="shared" si="29"/>
        <v>158.08004719265142</v>
      </c>
      <c r="J283">
        <f t="shared" si="21"/>
        <v>1194019906.9986503</v>
      </c>
      <c r="K283">
        <f t="shared" si="22"/>
        <v>995016589.16554201</v>
      </c>
      <c r="L283">
        <f t="shared" si="23"/>
        <v>99.99999986760686</v>
      </c>
    </row>
    <row r="284" spans="2:12">
      <c r="B284">
        <f t="shared" si="24"/>
        <v>10.353578016395483</v>
      </c>
      <c r="C284">
        <f t="shared" si="25"/>
        <v>5.1767890081977415</v>
      </c>
      <c r="D284">
        <f t="shared" si="26"/>
        <v>84.191995280734858</v>
      </c>
      <c r="E284">
        <f t="shared" si="27"/>
        <v>119401990541.78497</v>
      </c>
      <c r="F284" s="23">
        <f t="shared" si="30"/>
        <v>101.87231428968919</v>
      </c>
      <c r="G284">
        <f t="shared" si="28"/>
        <v>15.808004719265142</v>
      </c>
      <c r="H284">
        <f t="shared" si="29"/>
        <v>158.08004719265142</v>
      </c>
      <c r="J284">
        <f t="shared" si="21"/>
        <v>1194019906.9986503</v>
      </c>
      <c r="K284">
        <f t="shared" si="22"/>
        <v>995016589.16554201</v>
      </c>
      <c r="L284">
        <f t="shared" si="23"/>
        <v>99.99999986760686</v>
      </c>
    </row>
    <row r="285" spans="2:12">
      <c r="B285">
        <f t="shared" si="24"/>
        <v>10.353578016395483</v>
      </c>
      <c r="C285">
        <f t="shared" si="25"/>
        <v>5.1767890081977415</v>
      </c>
      <c r="D285">
        <f t="shared" si="26"/>
        <v>84.191995280734858</v>
      </c>
      <c r="E285">
        <f t="shared" si="27"/>
        <v>119401990541.78497</v>
      </c>
      <c r="F285" s="23">
        <f t="shared" si="30"/>
        <v>101.87231428968919</v>
      </c>
      <c r="G285">
        <f t="shared" si="28"/>
        <v>15.808004719265142</v>
      </c>
      <c r="H285">
        <f t="shared" si="29"/>
        <v>158.08004719265142</v>
      </c>
      <c r="J285">
        <f t="shared" si="21"/>
        <v>1194019906.9986503</v>
      </c>
      <c r="K285">
        <f t="shared" si="22"/>
        <v>995016589.16554201</v>
      </c>
      <c r="L285">
        <f t="shared" si="23"/>
        <v>99.99999986760686</v>
      </c>
    </row>
    <row r="286" spans="2:12">
      <c r="B286">
        <f t="shared" si="24"/>
        <v>10.353578016395483</v>
      </c>
      <c r="C286">
        <f t="shared" si="25"/>
        <v>5.1767890081977415</v>
      </c>
      <c r="D286">
        <f t="shared" si="26"/>
        <v>84.191995280734858</v>
      </c>
      <c r="E286">
        <f t="shared" si="27"/>
        <v>119401990541.78497</v>
      </c>
      <c r="F286" s="23">
        <f t="shared" si="30"/>
        <v>101.87231428968919</v>
      </c>
      <c r="G286">
        <f t="shared" si="28"/>
        <v>15.808004719265142</v>
      </c>
      <c r="H286">
        <f t="shared" si="29"/>
        <v>158.08004719265142</v>
      </c>
      <c r="J286">
        <f t="shared" si="21"/>
        <v>1194019906.9986503</v>
      </c>
      <c r="K286">
        <f t="shared" si="22"/>
        <v>995016589.16554201</v>
      </c>
      <c r="L286">
        <f t="shared" si="23"/>
        <v>99.99999986760686</v>
      </c>
    </row>
    <row r="287" spans="2:12">
      <c r="B287">
        <f t="shared" si="24"/>
        <v>10.353578016395483</v>
      </c>
      <c r="C287">
        <f t="shared" si="25"/>
        <v>5.1767890081977415</v>
      </c>
      <c r="D287">
        <f t="shared" si="26"/>
        <v>84.191995280734858</v>
      </c>
      <c r="E287">
        <f t="shared" si="27"/>
        <v>119401990541.78497</v>
      </c>
      <c r="F287" s="23">
        <f t="shared" si="30"/>
        <v>101.87231428968919</v>
      </c>
      <c r="G287">
        <f t="shared" si="28"/>
        <v>15.808004719265142</v>
      </c>
      <c r="H287">
        <f t="shared" si="29"/>
        <v>158.08004719265142</v>
      </c>
      <c r="J287">
        <f t="shared" si="21"/>
        <v>1194019906.9986503</v>
      </c>
      <c r="K287">
        <f t="shared" si="22"/>
        <v>995016589.16554201</v>
      </c>
      <c r="L287">
        <f t="shared" si="23"/>
        <v>99.99999986760686</v>
      </c>
    </row>
    <row r="288" spans="2:12">
      <c r="B288">
        <f t="shared" si="24"/>
        <v>10.353578016395483</v>
      </c>
      <c r="C288">
        <f t="shared" si="25"/>
        <v>5.1767890081977415</v>
      </c>
      <c r="D288">
        <f t="shared" si="26"/>
        <v>84.191995280734858</v>
      </c>
      <c r="E288">
        <f t="shared" si="27"/>
        <v>119401990541.78497</v>
      </c>
      <c r="F288" s="23">
        <f t="shared" si="30"/>
        <v>101.87231428968919</v>
      </c>
      <c r="G288">
        <f t="shared" si="28"/>
        <v>15.808004719265142</v>
      </c>
      <c r="H288">
        <f t="shared" si="29"/>
        <v>158.08004719265142</v>
      </c>
      <c r="J288">
        <f t="shared" si="21"/>
        <v>1194019906.9986503</v>
      </c>
      <c r="K288">
        <f t="shared" si="22"/>
        <v>995016589.16554201</v>
      </c>
      <c r="L288">
        <f t="shared" si="23"/>
        <v>99.99999986760686</v>
      </c>
    </row>
    <row r="289" spans="2:12">
      <c r="B289">
        <f t="shared" si="24"/>
        <v>10.353578016395483</v>
      </c>
      <c r="C289">
        <f t="shared" si="25"/>
        <v>5.1767890081977415</v>
      </c>
      <c r="D289">
        <f t="shared" si="26"/>
        <v>84.191995280734858</v>
      </c>
      <c r="E289">
        <f t="shared" si="27"/>
        <v>119401990541.78497</v>
      </c>
      <c r="F289" s="23">
        <f t="shared" si="30"/>
        <v>101.87231428968919</v>
      </c>
      <c r="G289">
        <f t="shared" si="28"/>
        <v>15.808004719265142</v>
      </c>
      <c r="H289">
        <f t="shared" si="29"/>
        <v>158.08004719265142</v>
      </c>
      <c r="J289">
        <f t="shared" si="21"/>
        <v>1194019906.9986503</v>
      </c>
      <c r="K289">
        <f t="shared" si="22"/>
        <v>995016589.16554201</v>
      </c>
      <c r="L289">
        <f t="shared" si="23"/>
        <v>99.99999986760686</v>
      </c>
    </row>
    <row r="290" spans="2:12">
      <c r="B290">
        <f t="shared" si="24"/>
        <v>10.353578016395483</v>
      </c>
      <c r="C290">
        <f t="shared" si="25"/>
        <v>5.1767890081977415</v>
      </c>
      <c r="D290">
        <f t="shared" si="26"/>
        <v>84.191995280734858</v>
      </c>
      <c r="E290">
        <f t="shared" si="27"/>
        <v>119401990541.78497</v>
      </c>
      <c r="F290" s="23">
        <f t="shared" si="30"/>
        <v>101.87231428968919</v>
      </c>
      <c r="G290">
        <f t="shared" si="28"/>
        <v>15.808004719265142</v>
      </c>
      <c r="H290">
        <f t="shared" si="29"/>
        <v>158.08004719265142</v>
      </c>
      <c r="J290">
        <f t="shared" si="21"/>
        <v>1194019906.9986503</v>
      </c>
      <c r="K290">
        <f t="shared" si="22"/>
        <v>995016589.16554201</v>
      </c>
      <c r="L290">
        <f t="shared" si="23"/>
        <v>99.99999986760686</v>
      </c>
    </row>
    <row r="291" spans="2:12">
      <c r="B291">
        <f t="shared" si="24"/>
        <v>10.353578016395483</v>
      </c>
      <c r="C291">
        <f t="shared" si="25"/>
        <v>5.1767890081977415</v>
      </c>
      <c r="D291">
        <f t="shared" si="26"/>
        <v>84.191995280734858</v>
      </c>
      <c r="E291">
        <f t="shared" si="27"/>
        <v>119401990541.78497</v>
      </c>
      <c r="F291" s="23">
        <f t="shared" si="30"/>
        <v>101.87231428968919</v>
      </c>
      <c r="G291">
        <f t="shared" si="28"/>
        <v>15.808004719265142</v>
      </c>
      <c r="H291">
        <f t="shared" si="29"/>
        <v>158.08004719265142</v>
      </c>
      <c r="J291">
        <f t="shared" si="21"/>
        <v>1194019906.9986503</v>
      </c>
      <c r="K291">
        <f t="shared" si="22"/>
        <v>995016589.16554201</v>
      </c>
      <c r="L291">
        <f t="shared" si="23"/>
        <v>99.99999986760686</v>
      </c>
    </row>
    <row r="292" spans="2:12">
      <c r="B292">
        <f t="shared" si="24"/>
        <v>10.353578016395483</v>
      </c>
      <c r="C292">
        <f t="shared" si="25"/>
        <v>5.1767890081977415</v>
      </c>
      <c r="D292">
        <f t="shared" si="26"/>
        <v>84.191995280734858</v>
      </c>
      <c r="E292">
        <f t="shared" si="27"/>
        <v>119401990541.78497</v>
      </c>
      <c r="F292" s="23">
        <f t="shared" si="30"/>
        <v>101.87231428968919</v>
      </c>
      <c r="G292">
        <f t="shared" si="28"/>
        <v>15.808004719265142</v>
      </c>
      <c r="H292">
        <f t="shared" si="29"/>
        <v>158.08004719265142</v>
      </c>
      <c r="J292">
        <f t="shared" si="21"/>
        <v>1194019906.9986503</v>
      </c>
      <c r="K292">
        <f t="shared" si="22"/>
        <v>995016589.16554201</v>
      </c>
      <c r="L292">
        <f t="shared" si="23"/>
        <v>99.99999986760686</v>
      </c>
    </row>
    <row r="293" spans="2:12">
      <c r="B293">
        <f t="shared" si="24"/>
        <v>10.353578016395483</v>
      </c>
      <c r="C293">
        <f t="shared" si="25"/>
        <v>5.1767890081977415</v>
      </c>
      <c r="D293">
        <f t="shared" si="26"/>
        <v>84.191995280734858</v>
      </c>
      <c r="E293">
        <f t="shared" si="27"/>
        <v>119401990541.78497</v>
      </c>
      <c r="F293" s="23">
        <f t="shared" si="30"/>
        <v>101.87231428968919</v>
      </c>
      <c r="G293">
        <f t="shared" si="28"/>
        <v>15.808004719265142</v>
      </c>
      <c r="H293">
        <f t="shared" si="29"/>
        <v>158.08004719265142</v>
      </c>
      <c r="J293">
        <f t="shared" si="21"/>
        <v>1194019906.9986503</v>
      </c>
      <c r="K293">
        <f t="shared" si="22"/>
        <v>995016589.16554201</v>
      </c>
      <c r="L293">
        <f t="shared" si="23"/>
        <v>99.99999986760686</v>
      </c>
    </row>
    <row r="294" spans="2:12">
      <c r="B294">
        <f t="shared" si="24"/>
        <v>10.353578016395483</v>
      </c>
      <c r="C294">
        <f t="shared" si="25"/>
        <v>5.1767890081977415</v>
      </c>
      <c r="D294">
        <f t="shared" si="26"/>
        <v>84.191995280734858</v>
      </c>
      <c r="E294">
        <f t="shared" si="27"/>
        <v>119401990541.78497</v>
      </c>
      <c r="F294" s="23">
        <f t="shared" si="30"/>
        <v>101.87231428968919</v>
      </c>
      <c r="G294">
        <f t="shared" si="28"/>
        <v>15.808004719265142</v>
      </c>
      <c r="H294">
        <f t="shared" si="29"/>
        <v>158.08004719265142</v>
      </c>
      <c r="J294">
        <f t="shared" si="21"/>
        <v>1194019906.9986503</v>
      </c>
      <c r="K294">
        <f t="shared" si="22"/>
        <v>995016589.16554201</v>
      </c>
      <c r="L294">
        <f t="shared" si="23"/>
        <v>99.99999986760686</v>
      </c>
    </row>
    <row r="295" spans="2:12">
      <c r="B295">
        <f t="shared" si="24"/>
        <v>10.353578016395483</v>
      </c>
      <c r="C295">
        <f t="shared" si="25"/>
        <v>5.1767890081977415</v>
      </c>
      <c r="D295">
        <f t="shared" si="26"/>
        <v>84.191995280734858</v>
      </c>
      <c r="E295">
        <f t="shared" si="27"/>
        <v>119401990541.78497</v>
      </c>
      <c r="F295" s="23">
        <f t="shared" si="30"/>
        <v>101.87231428968919</v>
      </c>
      <c r="G295">
        <f t="shared" si="28"/>
        <v>15.808004719265142</v>
      </c>
      <c r="H295">
        <f t="shared" si="29"/>
        <v>158.08004719265142</v>
      </c>
      <c r="J295">
        <f t="shared" si="21"/>
        <v>1194019906.9986503</v>
      </c>
      <c r="K295">
        <f t="shared" si="22"/>
        <v>995016589.16554201</v>
      </c>
      <c r="L295">
        <f t="shared" si="23"/>
        <v>99.99999986760686</v>
      </c>
    </row>
    <row r="296" spans="2:12">
      <c r="B296">
        <f t="shared" si="24"/>
        <v>10.353578016395483</v>
      </c>
      <c r="C296">
        <f t="shared" si="25"/>
        <v>5.1767890081977415</v>
      </c>
      <c r="D296">
        <f t="shared" si="26"/>
        <v>84.191995280734858</v>
      </c>
      <c r="E296">
        <f t="shared" si="27"/>
        <v>119401990541.78497</v>
      </c>
      <c r="F296" s="23">
        <f t="shared" si="30"/>
        <v>101.87231428968919</v>
      </c>
      <c r="G296">
        <f t="shared" si="28"/>
        <v>15.808004719265142</v>
      </c>
      <c r="H296">
        <f t="shared" si="29"/>
        <v>158.08004719265142</v>
      </c>
      <c r="J296">
        <f t="shared" ref="J296:J328" si="31">(E296+H296)/(G296+D296)</f>
        <v>1194019906.9986503</v>
      </c>
      <c r="K296">
        <f t="shared" ref="K296:K328" si="32">($B$73/($B$73+$B$74))*J296</f>
        <v>995016589.16554201</v>
      </c>
      <c r="L296">
        <f t="shared" ref="L296:L328" si="33">E296/(H296+E296)*100</f>
        <v>99.99999986760686</v>
      </c>
    </row>
    <row r="297" spans="2:12">
      <c r="B297">
        <f t="shared" ref="B297:B328" si="34">IF(F296&lt;$B$72, B296*1.1, B296)</f>
        <v>10.353578016395483</v>
      </c>
      <c r="C297">
        <f t="shared" ref="C297:C328" si="35">B297/2</f>
        <v>5.1767890081977415</v>
      </c>
      <c r="D297">
        <f t="shared" ref="D297:D328" si="36">C297*C297*PI()</f>
        <v>84.191995280734858</v>
      </c>
      <c r="E297">
        <f t="shared" ref="E297:E328" si="37">(1*980*PI()*(C297^4)*($B$73+$B$74)*3600*100)/(8*$B$73*1)</f>
        <v>119401990541.78497</v>
      </c>
      <c r="F297" s="23">
        <f t="shared" si="30"/>
        <v>101.87231428968919</v>
      </c>
      <c r="G297">
        <f t="shared" ref="G297:G328" si="38">$B$72-D297</f>
        <v>15.808004719265142</v>
      </c>
      <c r="H297">
        <f t="shared" ref="H297:H328" si="39">-(-$B$71/$B$72*G297)</f>
        <v>158.08004719265142</v>
      </c>
      <c r="J297">
        <f t="shared" si="31"/>
        <v>1194019906.9986503</v>
      </c>
      <c r="K297">
        <f t="shared" si="32"/>
        <v>995016589.16554201</v>
      </c>
      <c r="L297">
        <f t="shared" si="33"/>
        <v>99.99999986760686</v>
      </c>
    </row>
    <row r="298" spans="2:12">
      <c r="B298">
        <f t="shared" si="34"/>
        <v>10.353578016395483</v>
      </c>
      <c r="C298">
        <f t="shared" si="35"/>
        <v>5.1767890081977415</v>
      </c>
      <c r="D298">
        <f t="shared" si="36"/>
        <v>84.191995280734858</v>
      </c>
      <c r="E298">
        <f t="shared" si="37"/>
        <v>119401990541.78497</v>
      </c>
      <c r="F298" s="23">
        <f t="shared" si="30"/>
        <v>101.87231428968919</v>
      </c>
      <c r="G298">
        <f t="shared" si="38"/>
        <v>15.808004719265142</v>
      </c>
      <c r="H298">
        <f t="shared" si="39"/>
        <v>158.08004719265142</v>
      </c>
      <c r="J298">
        <f t="shared" si="31"/>
        <v>1194019906.9986503</v>
      </c>
      <c r="K298">
        <f t="shared" si="32"/>
        <v>995016589.16554201</v>
      </c>
      <c r="L298">
        <f t="shared" si="33"/>
        <v>99.99999986760686</v>
      </c>
    </row>
    <row r="299" spans="2:12">
      <c r="B299">
        <f t="shared" si="34"/>
        <v>10.353578016395483</v>
      </c>
      <c r="C299">
        <f t="shared" si="35"/>
        <v>5.1767890081977415</v>
      </c>
      <c r="D299">
        <f t="shared" si="36"/>
        <v>84.191995280734858</v>
      </c>
      <c r="E299">
        <f t="shared" si="37"/>
        <v>119401990541.78497</v>
      </c>
      <c r="F299" s="23">
        <f t="shared" si="30"/>
        <v>101.87231428968919</v>
      </c>
      <c r="G299">
        <f t="shared" si="38"/>
        <v>15.808004719265142</v>
      </c>
      <c r="H299">
        <f t="shared" si="39"/>
        <v>158.08004719265142</v>
      </c>
      <c r="J299">
        <f t="shared" si="31"/>
        <v>1194019906.9986503</v>
      </c>
      <c r="K299">
        <f t="shared" si="32"/>
        <v>995016589.16554201</v>
      </c>
      <c r="L299">
        <f t="shared" si="33"/>
        <v>99.99999986760686</v>
      </c>
    </row>
    <row r="300" spans="2:12">
      <c r="B300">
        <f t="shared" si="34"/>
        <v>10.353578016395483</v>
      </c>
      <c r="C300">
        <f t="shared" si="35"/>
        <v>5.1767890081977415</v>
      </c>
      <c r="D300">
        <f t="shared" si="36"/>
        <v>84.191995280734858</v>
      </c>
      <c r="E300">
        <f t="shared" si="37"/>
        <v>119401990541.78497</v>
      </c>
      <c r="F300" s="23">
        <f t="shared" si="30"/>
        <v>101.87231428968919</v>
      </c>
      <c r="G300">
        <f t="shared" si="38"/>
        <v>15.808004719265142</v>
      </c>
      <c r="H300">
        <f t="shared" si="39"/>
        <v>158.08004719265142</v>
      </c>
      <c r="J300">
        <f t="shared" si="31"/>
        <v>1194019906.9986503</v>
      </c>
      <c r="K300">
        <f t="shared" si="32"/>
        <v>995016589.16554201</v>
      </c>
      <c r="L300">
        <f t="shared" si="33"/>
        <v>99.99999986760686</v>
      </c>
    </row>
    <row r="301" spans="2:12">
      <c r="B301">
        <f t="shared" si="34"/>
        <v>10.353578016395483</v>
      </c>
      <c r="C301">
        <f t="shared" si="35"/>
        <v>5.1767890081977415</v>
      </c>
      <c r="D301">
        <f t="shared" si="36"/>
        <v>84.191995280734858</v>
      </c>
      <c r="E301">
        <f t="shared" si="37"/>
        <v>119401990541.78497</v>
      </c>
      <c r="F301" s="23">
        <f t="shared" si="30"/>
        <v>101.87231428968919</v>
      </c>
      <c r="G301">
        <f t="shared" si="38"/>
        <v>15.808004719265142</v>
      </c>
      <c r="H301">
        <f t="shared" si="39"/>
        <v>158.08004719265142</v>
      </c>
      <c r="J301">
        <f t="shared" si="31"/>
        <v>1194019906.9986503</v>
      </c>
      <c r="K301">
        <f t="shared" si="32"/>
        <v>995016589.16554201</v>
      </c>
      <c r="L301">
        <f t="shared" si="33"/>
        <v>99.99999986760686</v>
      </c>
    </row>
    <row r="302" spans="2:12">
      <c r="B302">
        <f t="shared" si="34"/>
        <v>10.353578016395483</v>
      </c>
      <c r="C302">
        <f t="shared" si="35"/>
        <v>5.1767890081977415</v>
      </c>
      <c r="D302">
        <f t="shared" si="36"/>
        <v>84.191995280734858</v>
      </c>
      <c r="E302">
        <f t="shared" si="37"/>
        <v>119401990541.78497</v>
      </c>
      <c r="F302" s="23">
        <f t="shared" si="30"/>
        <v>101.87231428968919</v>
      </c>
      <c r="G302">
        <f t="shared" si="38"/>
        <v>15.808004719265142</v>
      </c>
      <c r="H302">
        <f t="shared" si="39"/>
        <v>158.08004719265142</v>
      </c>
      <c r="J302">
        <f t="shared" si="31"/>
        <v>1194019906.9986503</v>
      </c>
      <c r="K302">
        <f t="shared" si="32"/>
        <v>995016589.16554201</v>
      </c>
      <c r="L302">
        <f t="shared" si="33"/>
        <v>99.99999986760686</v>
      </c>
    </row>
    <row r="303" spans="2:12">
      <c r="B303">
        <f t="shared" si="34"/>
        <v>10.353578016395483</v>
      </c>
      <c r="C303">
        <f t="shared" si="35"/>
        <v>5.1767890081977415</v>
      </c>
      <c r="D303">
        <f t="shared" si="36"/>
        <v>84.191995280734858</v>
      </c>
      <c r="E303">
        <f t="shared" si="37"/>
        <v>119401990541.78497</v>
      </c>
      <c r="F303" s="23">
        <f t="shared" si="30"/>
        <v>101.87231428968919</v>
      </c>
      <c r="G303">
        <f t="shared" si="38"/>
        <v>15.808004719265142</v>
      </c>
      <c r="H303">
        <f t="shared" si="39"/>
        <v>158.08004719265142</v>
      </c>
      <c r="J303">
        <f t="shared" si="31"/>
        <v>1194019906.9986503</v>
      </c>
      <c r="K303">
        <f t="shared" si="32"/>
        <v>995016589.16554201</v>
      </c>
      <c r="L303">
        <f t="shared" si="33"/>
        <v>99.99999986760686</v>
      </c>
    </row>
    <row r="304" spans="2:12">
      <c r="B304">
        <f t="shared" si="34"/>
        <v>10.353578016395483</v>
      </c>
      <c r="C304">
        <f t="shared" si="35"/>
        <v>5.1767890081977415</v>
      </c>
      <c r="D304">
        <f t="shared" si="36"/>
        <v>84.191995280734858</v>
      </c>
      <c r="E304">
        <f t="shared" si="37"/>
        <v>119401990541.78497</v>
      </c>
      <c r="F304" s="23">
        <f t="shared" si="30"/>
        <v>101.87231428968919</v>
      </c>
      <c r="G304">
        <f t="shared" si="38"/>
        <v>15.808004719265142</v>
      </c>
      <c r="H304">
        <f t="shared" si="39"/>
        <v>158.08004719265142</v>
      </c>
      <c r="J304">
        <f t="shared" si="31"/>
        <v>1194019906.9986503</v>
      </c>
      <c r="K304">
        <f t="shared" si="32"/>
        <v>995016589.16554201</v>
      </c>
      <c r="L304">
        <f t="shared" si="33"/>
        <v>99.99999986760686</v>
      </c>
    </row>
    <row r="305" spans="2:12">
      <c r="B305">
        <f t="shared" si="34"/>
        <v>10.353578016395483</v>
      </c>
      <c r="C305">
        <f t="shared" si="35"/>
        <v>5.1767890081977415</v>
      </c>
      <c r="D305">
        <f t="shared" si="36"/>
        <v>84.191995280734858</v>
      </c>
      <c r="E305">
        <f t="shared" si="37"/>
        <v>119401990541.78497</v>
      </c>
      <c r="F305" s="23">
        <f t="shared" si="30"/>
        <v>101.87231428968919</v>
      </c>
      <c r="G305">
        <f t="shared" si="38"/>
        <v>15.808004719265142</v>
      </c>
      <c r="H305">
        <f t="shared" si="39"/>
        <v>158.08004719265142</v>
      </c>
      <c r="J305">
        <f t="shared" si="31"/>
        <v>1194019906.9986503</v>
      </c>
      <c r="K305">
        <f t="shared" si="32"/>
        <v>995016589.16554201</v>
      </c>
      <c r="L305">
        <f t="shared" si="33"/>
        <v>99.99999986760686</v>
      </c>
    </row>
    <row r="306" spans="2:12">
      <c r="B306">
        <f t="shared" si="34"/>
        <v>10.353578016395483</v>
      </c>
      <c r="C306">
        <f t="shared" si="35"/>
        <v>5.1767890081977415</v>
      </c>
      <c r="D306">
        <f t="shared" si="36"/>
        <v>84.191995280734858</v>
      </c>
      <c r="E306">
        <f t="shared" si="37"/>
        <v>119401990541.78497</v>
      </c>
      <c r="F306" s="23">
        <f t="shared" si="30"/>
        <v>101.87231428968919</v>
      </c>
      <c r="G306">
        <f t="shared" si="38"/>
        <v>15.808004719265142</v>
      </c>
      <c r="H306">
        <f t="shared" si="39"/>
        <v>158.08004719265142</v>
      </c>
      <c r="J306">
        <f t="shared" si="31"/>
        <v>1194019906.9986503</v>
      </c>
      <c r="K306">
        <f t="shared" si="32"/>
        <v>995016589.16554201</v>
      </c>
      <c r="L306">
        <f t="shared" si="33"/>
        <v>99.99999986760686</v>
      </c>
    </row>
    <row r="307" spans="2:12">
      <c r="B307">
        <f t="shared" si="34"/>
        <v>10.353578016395483</v>
      </c>
      <c r="C307">
        <f t="shared" si="35"/>
        <v>5.1767890081977415</v>
      </c>
      <c r="D307">
        <f t="shared" si="36"/>
        <v>84.191995280734858</v>
      </c>
      <c r="E307">
        <f t="shared" si="37"/>
        <v>119401990541.78497</v>
      </c>
      <c r="F307" s="23">
        <f t="shared" si="30"/>
        <v>101.87231428968919</v>
      </c>
      <c r="G307">
        <f t="shared" si="38"/>
        <v>15.808004719265142</v>
      </c>
      <c r="H307">
        <f t="shared" si="39"/>
        <v>158.08004719265142</v>
      </c>
      <c r="J307">
        <f t="shared" si="31"/>
        <v>1194019906.9986503</v>
      </c>
      <c r="K307">
        <f t="shared" si="32"/>
        <v>995016589.16554201</v>
      </c>
      <c r="L307">
        <f t="shared" si="33"/>
        <v>99.99999986760686</v>
      </c>
    </row>
    <row r="308" spans="2:12">
      <c r="B308">
        <f t="shared" si="34"/>
        <v>10.353578016395483</v>
      </c>
      <c r="C308">
        <f t="shared" si="35"/>
        <v>5.1767890081977415</v>
      </c>
      <c r="D308">
        <f t="shared" si="36"/>
        <v>84.191995280734858</v>
      </c>
      <c r="E308">
        <f t="shared" si="37"/>
        <v>119401990541.78497</v>
      </c>
      <c r="F308" s="23">
        <f t="shared" si="30"/>
        <v>101.87231428968919</v>
      </c>
      <c r="G308">
        <f t="shared" si="38"/>
        <v>15.808004719265142</v>
      </c>
      <c r="H308">
        <f t="shared" si="39"/>
        <v>158.08004719265142</v>
      </c>
      <c r="J308">
        <f t="shared" si="31"/>
        <v>1194019906.9986503</v>
      </c>
      <c r="K308">
        <f t="shared" si="32"/>
        <v>995016589.16554201</v>
      </c>
      <c r="L308">
        <f t="shared" si="33"/>
        <v>99.99999986760686</v>
      </c>
    </row>
    <row r="309" spans="2:12">
      <c r="B309">
        <f t="shared" si="34"/>
        <v>10.353578016395483</v>
      </c>
      <c r="C309">
        <f t="shared" si="35"/>
        <v>5.1767890081977415</v>
      </c>
      <c r="D309">
        <f t="shared" si="36"/>
        <v>84.191995280734858</v>
      </c>
      <c r="E309">
        <f t="shared" si="37"/>
        <v>119401990541.78497</v>
      </c>
      <c r="F309" s="23">
        <f t="shared" si="30"/>
        <v>101.87231428968919</v>
      </c>
      <c r="G309">
        <f t="shared" si="38"/>
        <v>15.808004719265142</v>
      </c>
      <c r="H309">
        <f t="shared" si="39"/>
        <v>158.08004719265142</v>
      </c>
      <c r="J309">
        <f t="shared" si="31"/>
        <v>1194019906.9986503</v>
      </c>
      <c r="K309">
        <f t="shared" si="32"/>
        <v>995016589.16554201</v>
      </c>
      <c r="L309">
        <f t="shared" si="33"/>
        <v>99.99999986760686</v>
      </c>
    </row>
    <row r="310" spans="2:12">
      <c r="B310">
        <f t="shared" si="34"/>
        <v>10.353578016395483</v>
      </c>
      <c r="C310">
        <f t="shared" si="35"/>
        <v>5.1767890081977415</v>
      </c>
      <c r="D310">
        <f t="shared" si="36"/>
        <v>84.191995280734858</v>
      </c>
      <c r="E310">
        <f t="shared" si="37"/>
        <v>119401990541.78497</v>
      </c>
      <c r="F310" s="23">
        <f t="shared" si="30"/>
        <v>101.87231428968919</v>
      </c>
      <c r="G310">
        <f t="shared" si="38"/>
        <v>15.808004719265142</v>
      </c>
      <c r="H310">
        <f t="shared" si="39"/>
        <v>158.08004719265142</v>
      </c>
      <c r="J310">
        <f t="shared" si="31"/>
        <v>1194019906.9986503</v>
      </c>
      <c r="K310">
        <f t="shared" si="32"/>
        <v>995016589.16554201</v>
      </c>
      <c r="L310">
        <f t="shared" si="33"/>
        <v>99.99999986760686</v>
      </c>
    </row>
    <row r="311" spans="2:12">
      <c r="B311">
        <f t="shared" si="34"/>
        <v>10.353578016395483</v>
      </c>
      <c r="C311">
        <f t="shared" si="35"/>
        <v>5.1767890081977415</v>
      </c>
      <c r="D311">
        <f t="shared" si="36"/>
        <v>84.191995280734858</v>
      </c>
      <c r="E311">
        <f t="shared" si="37"/>
        <v>119401990541.78497</v>
      </c>
      <c r="F311" s="23">
        <f t="shared" si="30"/>
        <v>101.87231428968919</v>
      </c>
      <c r="G311">
        <f t="shared" si="38"/>
        <v>15.808004719265142</v>
      </c>
      <c r="H311">
        <f t="shared" si="39"/>
        <v>158.08004719265142</v>
      </c>
      <c r="J311">
        <f t="shared" si="31"/>
        <v>1194019906.9986503</v>
      </c>
      <c r="K311">
        <f t="shared" si="32"/>
        <v>995016589.16554201</v>
      </c>
      <c r="L311">
        <f t="shared" si="33"/>
        <v>99.99999986760686</v>
      </c>
    </row>
    <row r="312" spans="2:12">
      <c r="B312">
        <f t="shared" si="34"/>
        <v>10.353578016395483</v>
      </c>
      <c r="C312">
        <f t="shared" si="35"/>
        <v>5.1767890081977415</v>
      </c>
      <c r="D312">
        <f t="shared" si="36"/>
        <v>84.191995280734858</v>
      </c>
      <c r="E312">
        <f t="shared" si="37"/>
        <v>119401990541.78497</v>
      </c>
      <c r="F312" s="23">
        <f t="shared" si="30"/>
        <v>101.87231428968919</v>
      </c>
      <c r="G312">
        <f t="shared" si="38"/>
        <v>15.808004719265142</v>
      </c>
      <c r="H312">
        <f t="shared" si="39"/>
        <v>158.08004719265142</v>
      </c>
      <c r="J312">
        <f t="shared" si="31"/>
        <v>1194019906.9986503</v>
      </c>
      <c r="K312">
        <f t="shared" si="32"/>
        <v>995016589.16554201</v>
      </c>
      <c r="L312">
        <f t="shared" si="33"/>
        <v>99.99999986760686</v>
      </c>
    </row>
    <row r="313" spans="2:12">
      <c r="B313">
        <f t="shared" si="34"/>
        <v>10.353578016395483</v>
      </c>
      <c r="C313">
        <f t="shared" si="35"/>
        <v>5.1767890081977415</v>
      </c>
      <c r="D313">
        <f t="shared" si="36"/>
        <v>84.191995280734858</v>
      </c>
      <c r="E313">
        <f t="shared" si="37"/>
        <v>119401990541.78497</v>
      </c>
      <c r="F313" s="23">
        <f t="shared" si="30"/>
        <v>101.87231428968919</v>
      </c>
      <c r="G313">
        <f t="shared" si="38"/>
        <v>15.808004719265142</v>
      </c>
      <c r="H313">
        <f t="shared" si="39"/>
        <v>158.08004719265142</v>
      </c>
      <c r="J313">
        <f t="shared" si="31"/>
        <v>1194019906.9986503</v>
      </c>
      <c r="K313">
        <f t="shared" si="32"/>
        <v>995016589.16554201</v>
      </c>
      <c r="L313">
        <f t="shared" si="33"/>
        <v>99.99999986760686</v>
      </c>
    </row>
    <row r="314" spans="2:12">
      <c r="B314">
        <f t="shared" si="34"/>
        <v>10.353578016395483</v>
      </c>
      <c r="C314">
        <f t="shared" si="35"/>
        <v>5.1767890081977415</v>
      </c>
      <c r="D314">
        <f t="shared" si="36"/>
        <v>84.191995280734858</v>
      </c>
      <c r="E314">
        <f t="shared" si="37"/>
        <v>119401990541.78497</v>
      </c>
      <c r="F314" s="23">
        <f t="shared" si="30"/>
        <v>101.87231428968919</v>
      </c>
      <c r="G314">
        <f t="shared" si="38"/>
        <v>15.808004719265142</v>
      </c>
      <c r="H314">
        <f t="shared" si="39"/>
        <v>158.08004719265142</v>
      </c>
      <c r="J314">
        <f t="shared" si="31"/>
        <v>1194019906.9986503</v>
      </c>
      <c r="K314">
        <f t="shared" si="32"/>
        <v>995016589.16554201</v>
      </c>
      <c r="L314">
        <f t="shared" si="33"/>
        <v>99.99999986760686</v>
      </c>
    </row>
    <row r="315" spans="2:12">
      <c r="B315">
        <f t="shared" si="34"/>
        <v>10.353578016395483</v>
      </c>
      <c r="C315">
        <f t="shared" si="35"/>
        <v>5.1767890081977415</v>
      </c>
      <c r="D315">
        <f t="shared" si="36"/>
        <v>84.191995280734858</v>
      </c>
      <c r="E315">
        <f t="shared" si="37"/>
        <v>119401990541.78497</v>
      </c>
      <c r="F315" s="23">
        <f t="shared" si="30"/>
        <v>101.87231428968919</v>
      </c>
      <c r="G315">
        <f t="shared" si="38"/>
        <v>15.808004719265142</v>
      </c>
      <c r="H315">
        <f t="shared" si="39"/>
        <v>158.08004719265142</v>
      </c>
      <c r="J315">
        <f t="shared" si="31"/>
        <v>1194019906.9986503</v>
      </c>
      <c r="K315">
        <f t="shared" si="32"/>
        <v>995016589.16554201</v>
      </c>
      <c r="L315">
        <f t="shared" si="33"/>
        <v>99.99999986760686</v>
      </c>
    </row>
    <row r="316" spans="2:12">
      <c r="B316">
        <f t="shared" si="34"/>
        <v>10.353578016395483</v>
      </c>
      <c r="C316">
        <f t="shared" si="35"/>
        <v>5.1767890081977415</v>
      </c>
      <c r="D316">
        <f t="shared" si="36"/>
        <v>84.191995280734858</v>
      </c>
      <c r="E316">
        <f t="shared" si="37"/>
        <v>119401990541.78497</v>
      </c>
      <c r="F316" s="23">
        <f t="shared" si="30"/>
        <v>101.87231428968919</v>
      </c>
      <c r="G316">
        <f t="shared" si="38"/>
        <v>15.808004719265142</v>
      </c>
      <c r="H316">
        <f t="shared" si="39"/>
        <v>158.08004719265142</v>
      </c>
      <c r="J316">
        <f t="shared" si="31"/>
        <v>1194019906.9986503</v>
      </c>
      <c r="K316">
        <f t="shared" si="32"/>
        <v>995016589.16554201</v>
      </c>
      <c r="L316">
        <f t="shared" si="33"/>
        <v>99.99999986760686</v>
      </c>
    </row>
    <row r="317" spans="2:12">
      <c r="B317">
        <f t="shared" si="34"/>
        <v>10.353578016395483</v>
      </c>
      <c r="C317">
        <f t="shared" si="35"/>
        <v>5.1767890081977415</v>
      </c>
      <c r="D317">
        <f t="shared" si="36"/>
        <v>84.191995280734858</v>
      </c>
      <c r="E317">
        <f t="shared" si="37"/>
        <v>119401990541.78497</v>
      </c>
      <c r="F317" s="23">
        <f t="shared" si="30"/>
        <v>101.87231428968919</v>
      </c>
      <c r="G317">
        <f t="shared" si="38"/>
        <v>15.808004719265142</v>
      </c>
      <c r="H317">
        <f t="shared" si="39"/>
        <v>158.08004719265142</v>
      </c>
      <c r="J317">
        <f t="shared" si="31"/>
        <v>1194019906.9986503</v>
      </c>
      <c r="K317">
        <f t="shared" si="32"/>
        <v>995016589.16554201</v>
      </c>
      <c r="L317">
        <f t="shared" si="33"/>
        <v>99.99999986760686</v>
      </c>
    </row>
    <row r="318" spans="2:12">
      <c r="B318">
        <f t="shared" si="34"/>
        <v>10.353578016395483</v>
      </c>
      <c r="C318">
        <f t="shared" si="35"/>
        <v>5.1767890081977415</v>
      </c>
      <c r="D318">
        <f t="shared" si="36"/>
        <v>84.191995280734858</v>
      </c>
      <c r="E318">
        <f t="shared" si="37"/>
        <v>119401990541.78497</v>
      </c>
      <c r="F318" s="23">
        <f t="shared" si="30"/>
        <v>101.87231428968919</v>
      </c>
      <c r="G318">
        <f t="shared" si="38"/>
        <v>15.808004719265142</v>
      </c>
      <c r="H318">
        <f t="shared" si="39"/>
        <v>158.08004719265142</v>
      </c>
      <c r="J318">
        <f t="shared" si="31"/>
        <v>1194019906.9986503</v>
      </c>
      <c r="K318">
        <f t="shared" si="32"/>
        <v>995016589.16554201</v>
      </c>
      <c r="L318">
        <f t="shared" si="33"/>
        <v>99.99999986760686</v>
      </c>
    </row>
    <row r="319" spans="2:12">
      <c r="B319">
        <f t="shared" si="34"/>
        <v>10.353578016395483</v>
      </c>
      <c r="C319">
        <f t="shared" si="35"/>
        <v>5.1767890081977415</v>
      </c>
      <c r="D319">
        <f t="shared" si="36"/>
        <v>84.191995280734858</v>
      </c>
      <c r="E319">
        <f t="shared" si="37"/>
        <v>119401990541.78497</v>
      </c>
      <c r="F319" s="23">
        <f t="shared" si="30"/>
        <v>101.87231428968919</v>
      </c>
      <c r="G319">
        <f t="shared" si="38"/>
        <v>15.808004719265142</v>
      </c>
      <c r="H319">
        <f t="shared" si="39"/>
        <v>158.08004719265142</v>
      </c>
      <c r="J319">
        <f t="shared" si="31"/>
        <v>1194019906.9986503</v>
      </c>
      <c r="K319">
        <f t="shared" si="32"/>
        <v>995016589.16554201</v>
      </c>
      <c r="L319">
        <f t="shared" si="33"/>
        <v>99.99999986760686</v>
      </c>
    </row>
    <row r="320" spans="2:12">
      <c r="B320">
        <f t="shared" si="34"/>
        <v>10.353578016395483</v>
      </c>
      <c r="C320">
        <f t="shared" si="35"/>
        <v>5.1767890081977415</v>
      </c>
      <c r="D320">
        <f t="shared" si="36"/>
        <v>84.191995280734858</v>
      </c>
      <c r="E320">
        <f t="shared" si="37"/>
        <v>119401990541.78497</v>
      </c>
      <c r="F320" s="23">
        <f t="shared" si="30"/>
        <v>101.87231428968919</v>
      </c>
      <c r="G320">
        <f t="shared" si="38"/>
        <v>15.808004719265142</v>
      </c>
      <c r="H320">
        <f t="shared" si="39"/>
        <v>158.08004719265142</v>
      </c>
      <c r="J320">
        <f t="shared" si="31"/>
        <v>1194019906.9986503</v>
      </c>
      <c r="K320">
        <f t="shared" si="32"/>
        <v>995016589.16554201</v>
      </c>
      <c r="L320">
        <f t="shared" si="33"/>
        <v>99.99999986760686</v>
      </c>
    </row>
    <row r="321" spans="2:12">
      <c r="B321">
        <f t="shared" si="34"/>
        <v>10.353578016395483</v>
      </c>
      <c r="C321">
        <f t="shared" si="35"/>
        <v>5.1767890081977415</v>
      </c>
      <c r="D321">
        <f t="shared" si="36"/>
        <v>84.191995280734858</v>
      </c>
      <c r="E321">
        <f t="shared" si="37"/>
        <v>119401990541.78497</v>
      </c>
      <c r="F321" s="23">
        <f t="shared" si="30"/>
        <v>101.87231428968919</v>
      </c>
      <c r="G321">
        <f t="shared" si="38"/>
        <v>15.808004719265142</v>
      </c>
      <c r="H321">
        <f t="shared" si="39"/>
        <v>158.08004719265142</v>
      </c>
      <c r="J321">
        <f t="shared" si="31"/>
        <v>1194019906.9986503</v>
      </c>
      <c r="K321">
        <f t="shared" si="32"/>
        <v>995016589.16554201</v>
      </c>
      <c r="L321">
        <f t="shared" si="33"/>
        <v>99.99999986760686</v>
      </c>
    </row>
    <row r="322" spans="2:12">
      <c r="B322">
        <f t="shared" si="34"/>
        <v>10.353578016395483</v>
      </c>
      <c r="C322">
        <f t="shared" si="35"/>
        <v>5.1767890081977415</v>
      </c>
      <c r="D322">
        <f t="shared" si="36"/>
        <v>84.191995280734858</v>
      </c>
      <c r="E322">
        <f t="shared" si="37"/>
        <v>119401990541.78497</v>
      </c>
      <c r="F322" s="23">
        <f t="shared" si="30"/>
        <v>101.87231428968919</v>
      </c>
      <c r="G322">
        <f t="shared" si="38"/>
        <v>15.808004719265142</v>
      </c>
      <c r="H322">
        <f t="shared" si="39"/>
        <v>158.08004719265142</v>
      </c>
      <c r="J322">
        <f t="shared" si="31"/>
        <v>1194019906.9986503</v>
      </c>
      <c r="K322">
        <f t="shared" si="32"/>
        <v>995016589.16554201</v>
      </c>
      <c r="L322">
        <f t="shared" si="33"/>
        <v>99.99999986760686</v>
      </c>
    </row>
    <row r="323" spans="2:12">
      <c r="B323">
        <f t="shared" si="34"/>
        <v>10.353578016395483</v>
      </c>
      <c r="C323">
        <f t="shared" si="35"/>
        <v>5.1767890081977415</v>
      </c>
      <c r="D323">
        <f t="shared" si="36"/>
        <v>84.191995280734858</v>
      </c>
      <c r="E323">
        <f t="shared" si="37"/>
        <v>119401990541.78497</v>
      </c>
      <c r="F323" s="23">
        <f t="shared" si="30"/>
        <v>101.87231428968919</v>
      </c>
      <c r="G323">
        <f t="shared" si="38"/>
        <v>15.808004719265142</v>
      </c>
      <c r="H323">
        <f t="shared" si="39"/>
        <v>158.08004719265142</v>
      </c>
      <c r="J323">
        <f t="shared" si="31"/>
        <v>1194019906.9986503</v>
      </c>
      <c r="K323">
        <f t="shared" si="32"/>
        <v>995016589.16554201</v>
      </c>
      <c r="L323">
        <f t="shared" si="33"/>
        <v>99.99999986760686</v>
      </c>
    </row>
    <row r="324" spans="2:12">
      <c r="B324">
        <f t="shared" si="34"/>
        <v>10.353578016395483</v>
      </c>
      <c r="C324">
        <f t="shared" si="35"/>
        <v>5.1767890081977415</v>
      </c>
      <c r="D324">
        <f t="shared" si="36"/>
        <v>84.191995280734858</v>
      </c>
      <c r="E324">
        <f t="shared" si="37"/>
        <v>119401990541.78497</v>
      </c>
      <c r="F324" s="23">
        <f t="shared" si="30"/>
        <v>101.87231428968919</v>
      </c>
      <c r="G324">
        <f t="shared" si="38"/>
        <v>15.808004719265142</v>
      </c>
      <c r="H324">
        <f t="shared" si="39"/>
        <v>158.08004719265142</v>
      </c>
      <c r="J324">
        <f t="shared" si="31"/>
        <v>1194019906.9986503</v>
      </c>
      <c r="K324">
        <f t="shared" si="32"/>
        <v>995016589.16554201</v>
      </c>
      <c r="L324">
        <f t="shared" si="33"/>
        <v>99.99999986760686</v>
      </c>
    </row>
    <row r="325" spans="2:12">
      <c r="B325">
        <f t="shared" si="34"/>
        <v>10.353578016395483</v>
      </c>
      <c r="C325">
        <f t="shared" si="35"/>
        <v>5.1767890081977415</v>
      </c>
      <c r="D325">
        <f t="shared" si="36"/>
        <v>84.191995280734858</v>
      </c>
      <c r="E325">
        <f t="shared" si="37"/>
        <v>119401990541.78497</v>
      </c>
      <c r="F325" s="23">
        <f t="shared" si="30"/>
        <v>101.87231428968919</v>
      </c>
      <c r="G325">
        <f t="shared" si="38"/>
        <v>15.808004719265142</v>
      </c>
      <c r="H325">
        <f t="shared" si="39"/>
        <v>158.08004719265142</v>
      </c>
      <c r="J325">
        <f t="shared" si="31"/>
        <v>1194019906.9986503</v>
      </c>
      <c r="K325">
        <f t="shared" si="32"/>
        <v>995016589.16554201</v>
      </c>
      <c r="L325">
        <f t="shared" si="33"/>
        <v>99.99999986760686</v>
      </c>
    </row>
    <row r="326" spans="2:12">
      <c r="B326">
        <f t="shared" si="34"/>
        <v>10.353578016395483</v>
      </c>
      <c r="C326">
        <f t="shared" si="35"/>
        <v>5.1767890081977415</v>
      </c>
      <c r="D326">
        <f t="shared" si="36"/>
        <v>84.191995280734858</v>
      </c>
      <c r="E326">
        <f t="shared" si="37"/>
        <v>119401990541.78497</v>
      </c>
      <c r="F326" s="23">
        <f t="shared" si="30"/>
        <v>101.87231428968919</v>
      </c>
      <c r="G326">
        <f t="shared" si="38"/>
        <v>15.808004719265142</v>
      </c>
      <c r="H326">
        <f t="shared" si="39"/>
        <v>158.08004719265142</v>
      </c>
      <c r="J326">
        <f t="shared" si="31"/>
        <v>1194019906.9986503</v>
      </c>
      <c r="K326">
        <f t="shared" si="32"/>
        <v>995016589.16554201</v>
      </c>
      <c r="L326">
        <f t="shared" si="33"/>
        <v>99.99999986760686</v>
      </c>
    </row>
    <row r="327" spans="2:12">
      <c r="B327">
        <f t="shared" si="34"/>
        <v>10.353578016395483</v>
      </c>
      <c r="C327">
        <f t="shared" si="35"/>
        <v>5.1767890081977415</v>
      </c>
      <c r="D327">
        <f t="shared" si="36"/>
        <v>84.191995280734858</v>
      </c>
      <c r="E327">
        <f t="shared" si="37"/>
        <v>119401990541.78497</v>
      </c>
      <c r="F327" s="23">
        <f t="shared" si="30"/>
        <v>101.87231428968919</v>
      </c>
      <c r="G327">
        <f t="shared" si="38"/>
        <v>15.808004719265142</v>
      </c>
      <c r="H327">
        <f t="shared" si="39"/>
        <v>158.08004719265142</v>
      </c>
      <c r="J327">
        <f t="shared" si="31"/>
        <v>1194019906.9986503</v>
      </c>
      <c r="K327">
        <f t="shared" si="32"/>
        <v>995016589.16554201</v>
      </c>
      <c r="L327">
        <f t="shared" si="33"/>
        <v>99.99999986760686</v>
      </c>
    </row>
    <row r="328" spans="2:12">
      <c r="B328">
        <f t="shared" si="34"/>
        <v>10.353578016395483</v>
      </c>
      <c r="C328">
        <f t="shared" si="35"/>
        <v>5.1767890081977415</v>
      </c>
      <c r="D328">
        <f t="shared" si="36"/>
        <v>84.191995280734858</v>
      </c>
      <c r="E328">
        <f t="shared" si="37"/>
        <v>119401990541.78497</v>
      </c>
      <c r="F328" s="23">
        <f t="shared" si="30"/>
        <v>101.87231428968919</v>
      </c>
      <c r="G328">
        <f t="shared" si="38"/>
        <v>15.808004719265142</v>
      </c>
      <c r="H328">
        <f t="shared" si="39"/>
        <v>158.08004719265142</v>
      </c>
      <c r="J328">
        <f t="shared" si="31"/>
        <v>1194019906.9986503</v>
      </c>
      <c r="K328">
        <f t="shared" si="32"/>
        <v>995016589.16554201</v>
      </c>
      <c r="L328">
        <f t="shared" si="33"/>
        <v>99.99999986760686</v>
      </c>
    </row>
  </sheetData>
  <phoneticPr fontId="1"/>
  <pageMargins left="0.7" right="0.7" top="0.75" bottom="0.75" header="0.3" footer="0.3"/>
  <pageSetup paperSize="9" orientation="portrait" verticalDpi="0" r:id="rId1"/>
  <drawing r:id="rId2"/>
  <legacyDrawing r:id="rId3"/>
  <oleObjects>
    <oleObject progId="Equation.3" shapeId="12298" r:id="rId4"/>
    <oleObject progId="Equation.3" shapeId="12300" r:id="rId5"/>
    <oleObject progId="Equation.3" shapeId="12309" r:id="rId6"/>
    <oleObject progId="Equation.3" shapeId="12310" r:id="rId7"/>
  </oleObjects>
  <controls>
    <control shapeId="12296" r:id="rId8" name="ScrollBar4"/>
    <control shapeId="12295" r:id="rId9" name="ScrollBar3"/>
    <control shapeId="12294" r:id="rId10" name="ScrollBar2"/>
    <control shapeId="12293" r:id="rId11" name="ScrollBar1"/>
    <control shapeId="12303" r:id="rId12" name="ScrollBar5"/>
    <control shapeId="12304" r:id="rId13" name="ScrollBar6"/>
    <control shapeId="12306" r:id="rId14" name="ScrollBar7"/>
    <control shapeId="12311" r:id="rId15" name="ScrollBar8"/>
    <control shapeId="12313" r:id="rId16" name="ScrollBar9"/>
    <control shapeId="12314" r:id="rId17" name="ScrollBar10"/>
    <control shapeId="12315" r:id="rId18" name="ScrollBar11"/>
  </controls>
</worksheet>
</file>

<file path=xl/worksheets/sheet5.xml><?xml version="1.0" encoding="utf-8"?>
<worksheet xmlns="http://schemas.openxmlformats.org/spreadsheetml/2006/main" xmlns:r="http://schemas.openxmlformats.org/officeDocument/2006/relationships">
  <sheetPr codeName="Sheet4"/>
  <dimension ref="A1:R99"/>
  <sheetViews>
    <sheetView zoomScale="90" zoomScaleNormal="90" workbookViewId="0">
      <selection activeCell="C30" sqref="C30"/>
    </sheetView>
  </sheetViews>
  <sheetFormatPr defaultRowHeight="13.5"/>
  <sheetData>
    <row r="1" spans="1:12" ht="18.75">
      <c r="A1" s="10" t="s">
        <v>151</v>
      </c>
      <c r="L1" t="s">
        <v>51</v>
      </c>
    </row>
    <row r="3" spans="1:12">
      <c r="B3" s="12"/>
    </row>
    <row r="4" spans="1:12">
      <c r="B4" s="12"/>
    </row>
    <row r="13" spans="1:12" ht="18.75">
      <c r="A13" s="10" t="s">
        <v>34</v>
      </c>
      <c r="B13" s="12" t="s">
        <v>153</v>
      </c>
      <c r="I13" s="10"/>
    </row>
    <row r="14" spans="1:12" ht="18.75">
      <c r="A14" s="10"/>
      <c r="B14" s="12" t="s">
        <v>158</v>
      </c>
      <c r="K14" t="s">
        <v>32</v>
      </c>
    </row>
    <row r="15" spans="1:12" ht="14.25" thickBot="1"/>
    <row r="16" spans="1:12" ht="14.25" thickBot="1">
      <c r="A16">
        <v>10</v>
      </c>
      <c r="B16" t="s">
        <v>3</v>
      </c>
      <c r="C16" s="66" t="s">
        <v>2</v>
      </c>
    </row>
    <row r="17" spans="1:9" ht="13.5" customHeight="1">
      <c r="B17">
        <v>2</v>
      </c>
      <c r="C17" s="177" t="s">
        <v>0</v>
      </c>
      <c r="F17" s="49"/>
      <c r="G17" s="49"/>
      <c r="H17" s="49"/>
      <c r="I17" s="49"/>
    </row>
    <row r="18" spans="1:9" ht="15.75">
      <c r="C18" s="178"/>
      <c r="F18" s="49"/>
      <c r="G18" s="50" t="s">
        <v>91</v>
      </c>
      <c r="H18" s="64">
        <f>-E22*((A16+A22)/A22)</f>
        <v>-220.00000000000003</v>
      </c>
      <c r="I18" s="49" t="s">
        <v>149</v>
      </c>
    </row>
    <row r="19" spans="1:9" ht="14.25" thickBot="1">
      <c r="C19" s="178"/>
      <c r="F19" s="52"/>
      <c r="G19" s="52"/>
      <c r="H19" s="52"/>
      <c r="I19" s="52"/>
    </row>
    <row r="20" spans="1:9">
      <c r="C20" s="178"/>
    </row>
    <row r="21" spans="1:9" ht="13.5" customHeight="1">
      <c r="C21" s="178"/>
    </row>
    <row r="22" spans="1:9" ht="15.75">
      <c r="A22">
        <v>100</v>
      </c>
      <c r="B22" t="s">
        <v>3</v>
      </c>
      <c r="C22" s="178"/>
      <c r="D22" s="48" t="s">
        <v>150</v>
      </c>
      <c r="E22">
        <v>200</v>
      </c>
      <c r="F22" t="s">
        <v>149</v>
      </c>
    </row>
    <row r="23" spans="1:9" ht="13.5" customHeight="1">
      <c r="C23" s="178"/>
    </row>
    <row r="24" spans="1:9" ht="13.5" customHeight="1">
      <c r="C24" s="178"/>
    </row>
    <row r="25" spans="1:9">
      <c r="C25" s="178"/>
    </row>
    <row r="26" spans="1:9" ht="14.25" thickBot="1">
      <c r="C26" s="179"/>
      <c r="G26" s="160" t="s">
        <v>154</v>
      </c>
      <c r="H26" s="160"/>
      <c r="I26" s="160"/>
    </row>
    <row r="27" spans="1:9">
      <c r="G27" s="88" t="s">
        <v>157</v>
      </c>
      <c r="H27" s="88" t="s">
        <v>155</v>
      </c>
      <c r="I27" s="88" t="s">
        <v>156</v>
      </c>
    </row>
    <row r="28" spans="1:9">
      <c r="G28" s="28">
        <v>0</v>
      </c>
      <c r="H28" s="28">
        <v>0</v>
      </c>
      <c r="I28" s="28">
        <v>0</v>
      </c>
    </row>
    <row r="29" spans="1:9">
      <c r="G29" s="58">
        <f>A22</f>
        <v>100</v>
      </c>
      <c r="H29" s="58">
        <v>10</v>
      </c>
      <c r="I29" s="58">
        <f>G29+H29</f>
        <v>110</v>
      </c>
    </row>
    <row r="33" spans="1:13" ht="18.75">
      <c r="A33" s="10" t="s">
        <v>27</v>
      </c>
    </row>
    <row r="34" spans="1:13" ht="16.5">
      <c r="D34" s="33" t="s">
        <v>70</v>
      </c>
      <c r="E34" s="2">
        <f>A42</f>
        <v>100</v>
      </c>
      <c r="F34" t="s">
        <v>3</v>
      </c>
      <c r="H34" t="s">
        <v>166</v>
      </c>
    </row>
    <row r="35" spans="1:13" ht="17.25" thickBot="1">
      <c r="D35" s="33" t="s">
        <v>163</v>
      </c>
      <c r="E35" s="2">
        <f>B36</f>
        <v>10</v>
      </c>
      <c r="F35" t="s">
        <v>3</v>
      </c>
    </row>
    <row r="36" spans="1:13" ht="16.5" thickBot="1">
      <c r="A36" t="s">
        <v>162</v>
      </c>
      <c r="B36" s="2">
        <f>A16</f>
        <v>10</v>
      </c>
      <c r="C36" s="66" t="s">
        <v>2</v>
      </c>
      <c r="D36" s="33" t="s">
        <v>164</v>
      </c>
      <c r="E36" s="2">
        <f>E34+E35</f>
        <v>110</v>
      </c>
      <c r="F36" t="s">
        <v>3</v>
      </c>
      <c r="I36" s="48" t="s">
        <v>91</v>
      </c>
      <c r="J36" s="45">
        <f>-(E51)*(A42/E36)</f>
        <v>13.636363636363637</v>
      </c>
      <c r="K36" t="s">
        <v>149</v>
      </c>
    </row>
    <row r="37" spans="1:13">
      <c r="B37" s="171" t="s">
        <v>79</v>
      </c>
      <c r="C37" s="177" t="s">
        <v>0</v>
      </c>
    </row>
    <row r="38" spans="1:13" ht="16.5">
      <c r="B38" s="171"/>
      <c r="C38" s="178"/>
      <c r="D38" s="71" t="s">
        <v>174</v>
      </c>
      <c r="H38" t="s">
        <v>167</v>
      </c>
    </row>
    <row r="39" spans="1:13" ht="15.75">
      <c r="B39" s="171"/>
      <c r="C39" s="178"/>
      <c r="D39">
        <v>200</v>
      </c>
      <c r="E39" t="s">
        <v>149</v>
      </c>
    </row>
    <row r="40" spans="1:13" ht="14.25" thickBot="1">
      <c r="A40" t="s">
        <v>160</v>
      </c>
      <c r="B40" s="171"/>
      <c r="C40" s="179"/>
      <c r="D40" s="71"/>
    </row>
    <row r="41" spans="1:13" ht="16.5">
      <c r="A41" t="s">
        <v>161</v>
      </c>
      <c r="B41" s="171" t="s">
        <v>152</v>
      </c>
      <c r="C41" s="172" t="s">
        <v>57</v>
      </c>
      <c r="D41" s="71" t="s">
        <v>175</v>
      </c>
      <c r="E41">
        <v>3</v>
      </c>
    </row>
    <row r="42" spans="1:13" ht="16.5" thickBot="1">
      <c r="A42" s="2">
        <f>A22</f>
        <v>100</v>
      </c>
      <c r="B42" s="171"/>
      <c r="C42" s="173"/>
      <c r="D42" s="71">
        <f>E41^2/100+0.01</f>
        <v>9.9999999999999992E-2</v>
      </c>
      <c r="E42" t="s">
        <v>149</v>
      </c>
      <c r="F42" s="33"/>
      <c r="G42" s="2"/>
    </row>
    <row r="43" spans="1:13">
      <c r="B43" s="171" t="s">
        <v>159</v>
      </c>
      <c r="C43" s="177" t="s">
        <v>0</v>
      </c>
      <c r="F43" s="33"/>
      <c r="G43" s="41"/>
    </row>
    <row r="44" spans="1:13" ht="16.5">
      <c r="B44" s="171"/>
      <c r="C44" s="178"/>
      <c r="D44" s="71" t="s">
        <v>174</v>
      </c>
    </row>
    <row r="45" spans="1:13" ht="15.75">
      <c r="B45" s="171"/>
      <c r="C45" s="178"/>
      <c r="D45">
        <v>200</v>
      </c>
      <c r="E45" t="s">
        <v>149</v>
      </c>
      <c r="F45" s="33"/>
      <c r="G45" s="2"/>
    </row>
    <row r="46" spans="1:13" ht="17.25" thickBot="1">
      <c r="B46" s="171"/>
      <c r="C46" s="179"/>
      <c r="D46" s="33" t="s">
        <v>67</v>
      </c>
      <c r="E46" s="2">
        <v>0</v>
      </c>
      <c r="F46" t="s">
        <v>3</v>
      </c>
      <c r="K46" s="48" t="s">
        <v>91</v>
      </c>
      <c r="L46" s="29">
        <f>(D42*(D39-J36))/(J36*(D39-D42))*A42</f>
        <v>0.68367517091879271</v>
      </c>
      <c r="M46" s="49" t="s">
        <v>3</v>
      </c>
    </row>
    <row r="47" spans="1:13" ht="17.25" thickBot="1">
      <c r="D47" s="33" t="s">
        <v>68</v>
      </c>
      <c r="E47" s="2">
        <v>0</v>
      </c>
      <c r="F47" t="s">
        <v>3</v>
      </c>
      <c r="H47" s="52"/>
      <c r="I47" s="52"/>
      <c r="J47" s="52"/>
      <c r="K47" s="52"/>
      <c r="L47" s="52"/>
      <c r="M47" s="52"/>
    </row>
    <row r="48" spans="1:13" ht="16.5">
      <c r="D48" s="33" t="s">
        <v>69</v>
      </c>
      <c r="E48" s="2">
        <f>E46+E47</f>
        <v>0</v>
      </c>
      <c r="F48" t="s">
        <v>3</v>
      </c>
    </row>
    <row r="51" spans="1:18" ht="16.5">
      <c r="C51" s="49"/>
      <c r="D51" s="73" t="s">
        <v>165</v>
      </c>
      <c r="E51" s="72">
        <f>-E52</f>
        <v>-15</v>
      </c>
      <c r="F51" t="s">
        <v>149</v>
      </c>
    </row>
    <row r="52" spans="1:18">
      <c r="C52" s="49"/>
      <c r="E52">
        <v>15</v>
      </c>
    </row>
    <row r="53" spans="1:18">
      <c r="F53" s="49"/>
      <c r="G53" s="49"/>
      <c r="H53" s="49"/>
      <c r="I53" s="49"/>
      <c r="J53" s="49"/>
      <c r="K53" s="49"/>
      <c r="L53" s="49"/>
    </row>
    <row r="54" spans="1:18">
      <c r="F54" s="49"/>
      <c r="H54" s="49"/>
    </row>
    <row r="57" spans="1:18" ht="18.75">
      <c r="A57" s="10" t="s">
        <v>132</v>
      </c>
    </row>
    <row r="58" spans="1:18">
      <c r="A58" s="12" t="s">
        <v>168</v>
      </c>
      <c r="F58" t="s">
        <v>177</v>
      </c>
      <c r="K58" s="12" t="s">
        <v>169</v>
      </c>
    </row>
    <row r="59" spans="1:18" ht="14.25" thickBot="1">
      <c r="B59" t="s">
        <v>162</v>
      </c>
      <c r="K59" t="s">
        <v>162</v>
      </c>
    </row>
    <row r="60" spans="1:18" ht="14.25" thickBot="1">
      <c r="B60" s="2">
        <v>10</v>
      </c>
      <c r="C60" s="74" t="s">
        <v>2</v>
      </c>
      <c r="G60" s="48" t="s">
        <v>91</v>
      </c>
      <c r="H60" s="45">
        <f>-D73*(100/110)</f>
        <v>13.636363636363637</v>
      </c>
      <c r="I60" t="str">
        <f>E73</f>
        <v>cmday-1</v>
      </c>
      <c r="K60" s="2">
        <v>10</v>
      </c>
      <c r="L60" s="66" t="s">
        <v>2</v>
      </c>
      <c r="P60" s="48" t="s">
        <v>91</v>
      </c>
      <c r="Q60" s="29">
        <f>-M73*(100/110)</f>
        <v>13.636363636363637</v>
      </c>
      <c r="R60" t="str">
        <f>I60</f>
        <v>cmday-1</v>
      </c>
    </row>
    <row r="61" spans="1:18" ht="14.25" thickBot="1">
      <c r="C61" s="174" t="s">
        <v>0</v>
      </c>
      <c r="K61" s="45" t="s">
        <v>172</v>
      </c>
      <c r="L61" s="75" t="s">
        <v>57</v>
      </c>
      <c r="M61" t="s">
        <v>176</v>
      </c>
    </row>
    <row r="62" spans="1:18">
      <c r="C62" s="175"/>
      <c r="K62" s="29">
        <f>Q65</f>
        <v>0.68367517091879271</v>
      </c>
      <c r="L62" s="177" t="s">
        <v>0</v>
      </c>
      <c r="M62" s="2">
        <f>M63^2/100+0.01</f>
        <v>9.9999999999999992E-2</v>
      </c>
      <c r="N62" t="str">
        <f>N73</f>
        <v>cmday-1</v>
      </c>
    </row>
    <row r="63" spans="1:18">
      <c r="B63" t="s">
        <v>171</v>
      </c>
      <c r="C63" s="175"/>
      <c r="D63" t="s">
        <v>173</v>
      </c>
      <c r="L63" s="178"/>
      <c r="M63">
        <v>3</v>
      </c>
    </row>
    <row r="64" spans="1:18" ht="15.75">
      <c r="B64" s="29">
        <f>100-B70</f>
        <v>99.316324829081211</v>
      </c>
      <c r="C64" s="175"/>
      <c r="D64" s="2">
        <v>200</v>
      </c>
      <c r="E64" t="s">
        <v>149</v>
      </c>
      <c r="L64" s="178"/>
      <c r="Q64" s="45"/>
    </row>
    <row r="65" spans="2:18">
      <c r="B65" s="45"/>
      <c r="C65" s="175"/>
      <c r="G65" s="48" t="s">
        <v>91</v>
      </c>
      <c r="H65" s="45">
        <f>(100*D70*(D64-H60))/(H60*(D64-D70))</f>
        <v>0.68367517091879271</v>
      </c>
      <c r="I65" t="s">
        <v>170</v>
      </c>
      <c r="K65" t="s">
        <v>171</v>
      </c>
      <c r="L65" s="178"/>
      <c r="P65" s="48" t="s">
        <v>178</v>
      </c>
      <c r="Q65" s="29">
        <f>(100*M62*(M67-Q60))/(Q60*(M67-M62))</f>
        <v>0.68367517091879271</v>
      </c>
      <c r="R65" t="str">
        <f>I65</f>
        <v xml:space="preserve">cm </v>
      </c>
    </row>
    <row r="66" spans="2:18">
      <c r="B66" s="45"/>
      <c r="C66" s="175"/>
      <c r="K66" s="29">
        <f>100-K62</f>
        <v>99.316324829081211</v>
      </c>
      <c r="L66" s="178"/>
      <c r="M66" t="s">
        <v>173</v>
      </c>
      <c r="Q66" s="45"/>
    </row>
    <row r="67" spans="2:18">
      <c r="B67" s="45"/>
      <c r="C67" s="175"/>
      <c r="L67" s="178"/>
      <c r="M67" s="2">
        <v>200</v>
      </c>
      <c r="N67" t="str">
        <f>N73</f>
        <v>cmday-1</v>
      </c>
    </row>
    <row r="68" spans="2:18">
      <c r="B68" s="45"/>
      <c r="C68" s="175"/>
      <c r="L68" s="178"/>
    </row>
    <row r="69" spans="2:18" ht="14.25" thickBot="1">
      <c r="B69" s="45" t="s">
        <v>172</v>
      </c>
      <c r="C69" s="176"/>
      <c r="D69" t="s">
        <v>176</v>
      </c>
      <c r="L69" s="178"/>
    </row>
    <row r="70" spans="2:18" ht="16.5" thickBot="1">
      <c r="B70" s="29">
        <f>H65</f>
        <v>0.68367517091879271</v>
      </c>
      <c r="C70" s="76" t="s">
        <v>57</v>
      </c>
      <c r="D70" s="2">
        <f>D71^2/100+0.01</f>
        <v>9.9999999999999992E-2</v>
      </c>
      <c r="E70" t="s">
        <v>149</v>
      </c>
      <c r="G70" s="160" t="s">
        <v>4</v>
      </c>
      <c r="H70" s="160"/>
      <c r="I70" s="160"/>
      <c r="L70" s="179"/>
      <c r="P70" s="160" t="s">
        <v>4</v>
      </c>
      <c r="Q70" s="160"/>
      <c r="R70" s="160"/>
    </row>
    <row r="71" spans="2:18">
      <c r="D71">
        <v>3</v>
      </c>
      <c r="G71" s="59" t="s">
        <v>157</v>
      </c>
      <c r="H71" s="59" t="s">
        <v>155</v>
      </c>
      <c r="I71" s="59" t="s">
        <v>156</v>
      </c>
      <c r="P71" s="77" t="s">
        <v>157</v>
      </c>
      <c r="Q71" s="77" t="s">
        <v>155</v>
      </c>
      <c r="R71" s="77" t="s">
        <v>156</v>
      </c>
    </row>
    <row r="72" spans="2:18">
      <c r="G72" s="59">
        <f>100</f>
        <v>100</v>
      </c>
      <c r="H72" s="59">
        <v>10</v>
      </c>
      <c r="I72" s="59">
        <v>110</v>
      </c>
      <c r="P72" s="59">
        <f>100</f>
        <v>100</v>
      </c>
      <c r="Q72" s="59">
        <v>10</v>
      </c>
      <c r="R72" s="59">
        <v>110</v>
      </c>
    </row>
    <row r="73" spans="2:18">
      <c r="D73" s="2">
        <f>D74*-1</f>
        <v>-15</v>
      </c>
      <c r="E73" t="str">
        <f>E70</f>
        <v>cmday-1</v>
      </c>
      <c r="G73" s="78">
        <f>B70</f>
        <v>0.68367517091879271</v>
      </c>
      <c r="H73" s="78">
        <f>((-D73*H65)/D70)-H65</f>
        <v>101.86760046690013</v>
      </c>
      <c r="I73" s="78">
        <f>G73+H73</f>
        <v>102.55127563781892</v>
      </c>
      <c r="M73" s="2">
        <f>M74*-1</f>
        <v>-15</v>
      </c>
      <c r="N73" t="str">
        <f>E73</f>
        <v>cmday-1</v>
      </c>
      <c r="P73" s="78">
        <f>K66</f>
        <v>99.316324829081211</v>
      </c>
      <c r="Q73" s="78">
        <f>(-M73*K66)/M67-K66</f>
        <v>-91.867600466900114</v>
      </c>
      <c r="R73" s="78">
        <f>P73+Q73</f>
        <v>7.4487243621810961</v>
      </c>
    </row>
    <row r="74" spans="2:18">
      <c r="D74">
        <v>15</v>
      </c>
      <c r="G74" s="58">
        <v>0</v>
      </c>
      <c r="H74" s="58">
        <v>0</v>
      </c>
      <c r="I74" s="58">
        <v>0</v>
      </c>
      <c r="M74">
        <v>15</v>
      </c>
      <c r="P74" s="58">
        <v>0</v>
      </c>
      <c r="Q74" s="58">
        <v>0</v>
      </c>
      <c r="R74" s="58">
        <v>0</v>
      </c>
    </row>
    <row r="75" spans="2:18">
      <c r="B75" s="48"/>
    </row>
    <row r="97" spans="1:2" ht="18.75">
      <c r="A97" s="10" t="s">
        <v>179</v>
      </c>
    </row>
    <row r="98" spans="1:2">
      <c r="B98" t="s">
        <v>180</v>
      </c>
    </row>
    <row r="99" spans="1:2">
      <c r="B99" t="s">
        <v>181</v>
      </c>
    </row>
  </sheetData>
  <mergeCells count="12">
    <mergeCell ref="G26:I26"/>
    <mergeCell ref="B37:B40"/>
    <mergeCell ref="C37:C40"/>
    <mergeCell ref="B43:B46"/>
    <mergeCell ref="C43:C46"/>
    <mergeCell ref="C17:C26"/>
    <mergeCell ref="G70:I70"/>
    <mergeCell ref="P70:R70"/>
    <mergeCell ref="B41:B42"/>
    <mergeCell ref="C41:C42"/>
    <mergeCell ref="C61:C69"/>
    <mergeCell ref="L62:L70"/>
  </mergeCells>
  <phoneticPr fontId="1"/>
  <pageMargins left="0.7" right="0.7" top="0.75" bottom="0.75" header="0.3" footer="0.3"/>
  <pageSetup paperSize="9" orientation="portrait" verticalDpi="0" r:id="rId1"/>
  <drawing r:id="rId2"/>
  <legacyDrawing r:id="rId3"/>
  <oleObjects>
    <oleObject progId="Equation.3" shapeId="14340" r:id="rId4"/>
    <oleObject progId="Equation.3" shapeId="14347" r:id="rId5"/>
    <oleObject progId="Equation.3" shapeId="14348" r:id="rId6"/>
    <oleObject progId="Equation.3" shapeId="14357" r:id="rId7"/>
    <oleObject progId="Equation.3" shapeId="14366" r:id="rId8"/>
    <oleObject progId="Equation.3" shapeId="14367" r:id="rId9"/>
    <oleObject progId="Equation.3" shapeId="14368" r:id="rId10"/>
    <oleObject progId="Equation.3" shapeId="14369" r:id="rId11"/>
  </oleObjects>
  <controls>
    <control shapeId="14337" r:id="rId12" name="ScrollBar1"/>
    <control shapeId="14338" r:id="rId13" name="ScrollBar2"/>
    <control shapeId="14339" r:id="rId14" name="ScrollBar3"/>
    <control shapeId="14352" r:id="rId15" name="ScrollBar4"/>
    <control shapeId="14353" r:id="rId16" name="ScrollBar5"/>
    <control shapeId="14354" r:id="rId17" name="ScrollBar6"/>
    <control shapeId="14355" r:id="rId18" name="ScrollBar7"/>
    <control shapeId="14356" r:id="rId19" name="ScrollBar8"/>
    <control shapeId="14358" r:id="rId20" name="ScrollBar9"/>
    <control shapeId="14359" r:id="rId21" name="ScrollBar10"/>
    <control shapeId="14360" r:id="rId22" name="ScrollBar11"/>
    <control shapeId="14363" r:id="rId23" name="ScrollBar12"/>
    <control shapeId="14364" r:id="rId24" name="ScrollBar13"/>
    <control shapeId="14365" r:id="rId25" name="ScrollBar14"/>
  </controls>
</worksheet>
</file>

<file path=xl/worksheets/sheet6.xml><?xml version="1.0" encoding="utf-8"?>
<worksheet xmlns="http://schemas.openxmlformats.org/spreadsheetml/2006/main" xmlns:r="http://schemas.openxmlformats.org/officeDocument/2006/relationships">
  <sheetPr codeName="Sheet8"/>
  <dimension ref="A1:Y86"/>
  <sheetViews>
    <sheetView zoomScale="90" zoomScaleNormal="90" workbookViewId="0"/>
  </sheetViews>
  <sheetFormatPr defaultRowHeight="13.5"/>
  <cols>
    <col min="9" max="9" width="9" customWidth="1"/>
  </cols>
  <sheetData>
    <row r="1" spans="1:25" ht="18.75">
      <c r="A1" s="10" t="s">
        <v>182</v>
      </c>
      <c r="L1" t="s">
        <v>51</v>
      </c>
      <c r="X1">
        <v>0.01</v>
      </c>
      <c r="Y1">
        <f t="shared" ref="Y1:Y27" si="0">30*(0.25/X1^2-1)^0.5</f>
        <v>1499.6999699939986</v>
      </c>
    </row>
    <row r="2" spans="1:25">
      <c r="X2">
        <f t="shared" ref="X2:X27" si="1">X1*1.1</f>
        <v>1.1000000000000001E-2</v>
      </c>
      <c r="Y2">
        <f t="shared" si="0"/>
        <v>1363.3063236966975</v>
      </c>
    </row>
    <row r="3" spans="1:25">
      <c r="X3">
        <f t="shared" si="1"/>
        <v>1.2100000000000001E-2</v>
      </c>
      <c r="Y3">
        <f t="shared" si="0"/>
        <v>1239.3063683252051</v>
      </c>
    </row>
    <row r="4" spans="1:25">
      <c r="X4">
        <f t="shared" si="1"/>
        <v>1.3310000000000002E-2</v>
      </c>
      <c r="Y4">
        <f t="shared" si="0"/>
        <v>1126.5728305888611</v>
      </c>
    </row>
    <row r="5" spans="1:25">
      <c r="X5">
        <f t="shared" si="1"/>
        <v>1.4641000000000003E-2</v>
      </c>
      <c r="Y5">
        <f t="shared" si="0"/>
        <v>1024.080858854368</v>
      </c>
    </row>
    <row r="6" spans="1:25">
      <c r="X6">
        <f t="shared" si="1"/>
        <v>1.6105100000000004E-2</v>
      </c>
      <c r="Y6">
        <f t="shared" si="0"/>
        <v>930.89870620623708</v>
      </c>
    </row>
    <row r="7" spans="1:25">
      <c r="X7">
        <f t="shared" si="1"/>
        <v>1.7715610000000007E-2</v>
      </c>
      <c r="Y7">
        <f t="shared" si="0"/>
        <v>846.17925987836782</v>
      </c>
    </row>
    <row r="8" spans="1:25">
      <c r="X8">
        <f t="shared" si="1"/>
        <v>1.9487171000000008E-2</v>
      </c>
      <c r="Y8">
        <f t="shared" si="0"/>
        <v>769.15234003978662</v>
      </c>
    </row>
    <row r="9" spans="1:25">
      <c r="X9">
        <f t="shared" si="1"/>
        <v>2.1435888100000012E-2</v>
      </c>
      <c r="Y9">
        <f t="shared" si="0"/>
        <v>699.11769790775156</v>
      </c>
    </row>
    <row r="10" spans="1:25">
      <c r="X10">
        <f t="shared" si="1"/>
        <v>2.3579476910000015E-2</v>
      </c>
      <c r="Y10">
        <f t="shared" si="0"/>
        <v>635.43864951364958</v>
      </c>
    </row>
    <row r="11" spans="1:25">
      <c r="X11">
        <f t="shared" si="1"/>
        <v>2.5937424601000018E-2</v>
      </c>
      <c r="Y11">
        <f t="shared" si="0"/>
        <v>577.53628721866721</v>
      </c>
    </row>
    <row r="12" spans="1:25">
      <c r="X12">
        <f t="shared" si="1"/>
        <v>2.8531167061100021E-2</v>
      </c>
      <c r="Y12">
        <f t="shared" si="0"/>
        <v>524.88421631895426</v>
      </c>
    </row>
    <row r="13" spans="1:25">
      <c r="X13">
        <f t="shared" si="1"/>
        <v>3.1384283767210024E-2</v>
      </c>
      <c r="Y13">
        <f t="shared" si="0"/>
        <v>477.0037688407017</v>
      </c>
    </row>
    <row r="14" spans="1:25" ht="18.75">
      <c r="A14" t="s">
        <v>217</v>
      </c>
      <c r="F14" s="10" t="s">
        <v>34</v>
      </c>
      <c r="X14">
        <f t="shared" si="1"/>
        <v>3.4522712143931031E-2</v>
      </c>
      <c r="Y14">
        <f t="shared" si="0"/>
        <v>433.45965094635983</v>
      </c>
    </row>
    <row r="15" spans="1:25" ht="15.75">
      <c r="A15" s="83" t="s">
        <v>202</v>
      </c>
      <c r="B15" s="84" t="s">
        <v>186</v>
      </c>
      <c r="C15" s="21">
        <v>72.7</v>
      </c>
      <c r="D15" s="83" t="s">
        <v>214</v>
      </c>
      <c r="F15" s="80" t="s">
        <v>183</v>
      </c>
      <c r="G15" s="68" t="s">
        <v>184</v>
      </c>
      <c r="X15">
        <f t="shared" si="1"/>
        <v>3.7974983358324138E-2</v>
      </c>
      <c r="Y15">
        <f t="shared" si="0"/>
        <v>393.85598429175838</v>
      </c>
    </row>
    <row r="16" spans="1:25" ht="16.5">
      <c r="A16" s="49" t="s">
        <v>203</v>
      </c>
      <c r="B16" s="85" t="s">
        <v>189</v>
      </c>
      <c r="C16" s="64">
        <v>1</v>
      </c>
      <c r="D16" s="49" t="s">
        <v>114</v>
      </c>
      <c r="F16" s="64">
        <v>0.1</v>
      </c>
      <c r="G16" s="81">
        <f>-30*((0.25/F16^2)-1)^(1/2)</f>
        <v>-146.96938456699067</v>
      </c>
      <c r="I16" s="23">
        <f>G16*-1</f>
        <v>146.96938456699067</v>
      </c>
      <c r="X16">
        <f t="shared" si="1"/>
        <v>4.1772481694156552E-2</v>
      </c>
      <c r="Y16">
        <f t="shared" si="0"/>
        <v>357.83270522358339</v>
      </c>
    </row>
    <row r="17" spans="1:25" ht="15.75">
      <c r="A17" s="49" t="s">
        <v>204</v>
      </c>
      <c r="B17" s="95" t="s">
        <v>211</v>
      </c>
      <c r="C17" s="64">
        <v>980</v>
      </c>
      <c r="D17" s="49" t="s">
        <v>112</v>
      </c>
      <c r="F17" s="64">
        <v>0.2</v>
      </c>
      <c r="G17" s="81">
        <f t="shared" ref="G17:G19" si="2">-30*((0.25/F17^2)-1)^(1/2)</f>
        <v>-68.738635424337602</v>
      </c>
      <c r="I17" s="23">
        <f>G17*-1</f>
        <v>68.738635424337602</v>
      </c>
      <c r="X17">
        <f t="shared" si="1"/>
        <v>4.5949729863572208E-2</v>
      </c>
      <c r="Y17">
        <f t="shared" si="0"/>
        <v>325.06228891664063</v>
      </c>
    </row>
    <row r="18" spans="1:25" ht="15.75">
      <c r="A18" s="49" t="s">
        <v>207</v>
      </c>
      <c r="B18" s="85" t="s">
        <v>208</v>
      </c>
      <c r="C18" s="61">
        <v>0.01</v>
      </c>
      <c r="D18" s="49" t="s">
        <v>215</v>
      </c>
      <c r="F18" s="64">
        <v>0.3</v>
      </c>
      <c r="G18" s="81">
        <f t="shared" si="2"/>
        <v>-40</v>
      </c>
      <c r="I18" s="23">
        <f>G18*-1</f>
        <v>40</v>
      </c>
      <c r="X18">
        <f t="shared" si="1"/>
        <v>5.0544702849929436E-2</v>
      </c>
      <c r="Y18">
        <f t="shared" si="0"/>
        <v>295.24676844541267</v>
      </c>
    </row>
    <row r="19" spans="1:25" ht="15">
      <c r="A19" s="49" t="s">
        <v>205</v>
      </c>
      <c r="B19" s="85" t="s">
        <v>188</v>
      </c>
      <c r="C19" s="64">
        <v>0.1</v>
      </c>
      <c r="D19" s="49"/>
      <c r="F19" s="64">
        <v>0.4</v>
      </c>
      <c r="G19" s="81">
        <f t="shared" si="2"/>
        <v>-22.499999999999996</v>
      </c>
      <c r="I19" s="23">
        <f>G19*-1</f>
        <v>22.499999999999996</v>
      </c>
      <c r="X19">
        <f t="shared" si="1"/>
        <v>5.5599173134922387E-2</v>
      </c>
      <c r="Y19">
        <f t="shared" si="0"/>
        <v>268.11502138469405</v>
      </c>
    </row>
    <row r="20" spans="1:25" ht="16.5">
      <c r="A20" s="49" t="s">
        <v>209</v>
      </c>
      <c r="B20" s="94" t="s">
        <v>210</v>
      </c>
      <c r="C20" s="61">
        <v>1</v>
      </c>
      <c r="D20" s="49"/>
      <c r="F20" s="67">
        <v>0.5</v>
      </c>
      <c r="G20" s="67">
        <f>-30*((0.25/F20^2)-1)^(1/2)</f>
        <v>0</v>
      </c>
      <c r="I20" s="23">
        <f>G20*-1</f>
        <v>0</v>
      </c>
      <c r="X20">
        <f t="shared" si="1"/>
        <v>6.1159090448414631E-2</v>
      </c>
      <c r="Y20">
        <f t="shared" si="0"/>
        <v>243.42029885428587</v>
      </c>
    </row>
    <row r="21" spans="1:25" ht="15.75">
      <c r="A21" s="49" t="s">
        <v>212</v>
      </c>
      <c r="B21" s="95" t="s">
        <v>206</v>
      </c>
      <c r="C21" s="61">
        <v>1</v>
      </c>
      <c r="D21" s="49" t="s">
        <v>213</v>
      </c>
      <c r="X21">
        <f t="shared" si="1"/>
        <v>6.7274999493256105E-2</v>
      </c>
      <c r="Y21">
        <f t="shared" si="0"/>
        <v>220.93797397098768</v>
      </c>
    </row>
    <row r="22" spans="1:25" ht="15">
      <c r="A22" s="69"/>
      <c r="B22" s="86" t="s">
        <v>187</v>
      </c>
      <c r="C22" s="82">
        <f>PI()</f>
        <v>3.1415926535897931</v>
      </c>
      <c r="D22" s="69"/>
      <c r="X22">
        <f t="shared" si="1"/>
        <v>7.4002499442581721E-2</v>
      </c>
      <c r="Y22">
        <f t="shared" si="0"/>
        <v>200.4634884469852</v>
      </c>
    </row>
    <row r="23" spans="1:25">
      <c r="X23">
        <f t="shared" si="1"/>
        <v>8.1402749386839904E-2</v>
      </c>
      <c r="Y23">
        <f t="shared" si="0"/>
        <v>181.81047756480541</v>
      </c>
    </row>
    <row r="24" spans="1:25">
      <c r="X24">
        <f t="shared" si="1"/>
        <v>8.9543024325523898E-2</v>
      </c>
      <c r="Y24">
        <f t="shared" si="0"/>
        <v>164.80905493544003</v>
      </c>
    </row>
    <row r="25" spans="1:25">
      <c r="X25">
        <f t="shared" si="1"/>
        <v>9.8497326758076292E-2</v>
      </c>
      <c r="Y25">
        <f t="shared" si="0"/>
        <v>149.30423925140371</v>
      </c>
    </row>
    <row r="26" spans="1:25">
      <c r="X26">
        <f t="shared" si="1"/>
        <v>0.10834705943388392</v>
      </c>
      <c r="Y26">
        <f t="shared" si="0"/>
        <v>135.15450558111769</v>
      </c>
    </row>
    <row r="27" spans="1:25">
      <c r="X27">
        <f t="shared" si="1"/>
        <v>0.11918176537727232</v>
      </c>
      <c r="Y27">
        <f t="shared" si="0"/>
        <v>122.23044344538927</v>
      </c>
    </row>
    <row r="28" spans="1:25">
      <c r="X28">
        <f t="shared" ref="X28:X42" si="3">X27*1.1</f>
        <v>0.13109994191499957</v>
      </c>
      <c r="Y28">
        <f t="shared" ref="Y28:Y42" si="4">30*(0.25/X28^2-1)^0.5</f>
        <v>110.41350268088395</v>
      </c>
    </row>
    <row r="29" spans="1:25">
      <c r="X29">
        <f t="shared" si="3"/>
        <v>0.14420993610649954</v>
      </c>
      <c r="Y29">
        <f t="shared" si="4"/>
        <v>99.594805426712725</v>
      </c>
    </row>
    <row r="30" spans="1:25" ht="18.75">
      <c r="A30" s="10" t="s">
        <v>85</v>
      </c>
      <c r="B30" t="s">
        <v>218</v>
      </c>
      <c r="H30" s="10" t="s">
        <v>216</v>
      </c>
      <c r="I30" t="s">
        <v>218</v>
      </c>
      <c r="X30">
        <f t="shared" si="3"/>
        <v>0.15863092971714951</v>
      </c>
      <c r="Y30">
        <f t="shared" si="4"/>
        <v>89.673997576274715</v>
      </c>
    </row>
    <row r="31" spans="1:25">
      <c r="X31">
        <f t="shared" si="3"/>
        <v>0.17449402268886446</v>
      </c>
      <c r="Y31">
        <f t="shared" si="4"/>
        <v>80.55810408217053</v>
      </c>
    </row>
    <row r="32" spans="1:25">
      <c r="X32">
        <f t="shared" si="3"/>
        <v>0.19194342495775094</v>
      </c>
      <c r="Y32">
        <f t="shared" si="4"/>
        <v>72.16033647207783</v>
      </c>
    </row>
    <row r="33" spans="2:25">
      <c r="X33">
        <f t="shared" si="3"/>
        <v>0.21113776745352605</v>
      </c>
      <c r="Y33">
        <f t="shared" si="4"/>
        <v>64.398771610400289</v>
      </c>
    </row>
    <row r="34" spans="2:25">
      <c r="X34">
        <f t="shared" si="3"/>
        <v>0.23225154419887867</v>
      </c>
      <c r="Y34">
        <f t="shared" si="4"/>
        <v>57.19476501017386</v>
      </c>
    </row>
    <row r="35" spans="2:25">
      <c r="X35">
        <f t="shared" si="3"/>
        <v>0.25547669861876654</v>
      </c>
      <c r="Y35">
        <f t="shared" si="4"/>
        <v>50.47085031034019</v>
      </c>
    </row>
    <row r="36" spans="2:25">
      <c r="X36">
        <f t="shared" si="3"/>
        <v>0.28102436848064322</v>
      </c>
      <c r="Y36">
        <f t="shared" si="4"/>
        <v>44.147636712660287</v>
      </c>
    </row>
    <row r="37" spans="2:25">
      <c r="X37">
        <f t="shared" si="3"/>
        <v>0.30912680532870757</v>
      </c>
      <c r="Y37">
        <f t="shared" si="4"/>
        <v>38.138653385730386</v>
      </c>
    </row>
    <row r="38" spans="2:25">
      <c r="X38">
        <f t="shared" si="3"/>
        <v>0.34003948586157834</v>
      </c>
      <c r="Y38">
        <f t="shared" si="4"/>
        <v>32.340605723701849</v>
      </c>
    </row>
    <row r="39" spans="2:25">
      <c r="X39">
        <f t="shared" si="3"/>
        <v>0.37404343444773619</v>
      </c>
      <c r="Y39">
        <f t="shared" si="4"/>
        <v>26.611915223841731</v>
      </c>
    </row>
    <row r="40" spans="2:25" ht="15">
      <c r="B40" t="s">
        <v>199</v>
      </c>
      <c r="X40">
        <f t="shared" si="3"/>
        <v>0.41144777789250986</v>
      </c>
      <c r="Y40">
        <f t="shared" si="4"/>
        <v>20.714390571800717</v>
      </c>
    </row>
    <row r="41" spans="2:25">
      <c r="B41" t="s">
        <v>200</v>
      </c>
      <c r="X41">
        <f t="shared" si="3"/>
        <v>0.45259255568176088</v>
      </c>
      <c r="Y41">
        <f t="shared" si="4"/>
        <v>14.086098203991217</v>
      </c>
    </row>
    <row r="42" spans="2:25">
      <c r="B42" t="s">
        <v>201</v>
      </c>
      <c r="X42">
        <f t="shared" si="3"/>
        <v>0.49785181124993699</v>
      </c>
      <c r="Y42">
        <f t="shared" si="4"/>
        <v>2.7899113722236906</v>
      </c>
    </row>
    <row r="43" spans="2:25" ht="16.5">
      <c r="B43" s="21" t="s">
        <v>198</v>
      </c>
      <c r="C43" s="84" t="s">
        <v>183</v>
      </c>
      <c r="D43" s="60"/>
      <c r="E43" s="20" t="s">
        <v>195</v>
      </c>
      <c r="F43" s="93" t="s">
        <v>196</v>
      </c>
      <c r="G43" s="96" t="s">
        <v>197</v>
      </c>
      <c r="I43" s="20" t="s">
        <v>219</v>
      </c>
      <c r="J43" s="20" t="s">
        <v>220</v>
      </c>
      <c r="K43" s="20" t="s">
        <v>221</v>
      </c>
      <c r="L43" s="19" t="s">
        <v>222</v>
      </c>
    </row>
    <row r="44" spans="2:25" ht="15.75">
      <c r="B44" s="67"/>
      <c r="C44" s="91"/>
      <c r="D44" s="69"/>
      <c r="E44" s="67" t="s">
        <v>106</v>
      </c>
      <c r="F44" s="67" t="s">
        <v>106</v>
      </c>
      <c r="G44" s="58" t="s">
        <v>185</v>
      </c>
      <c r="I44" s="49"/>
      <c r="J44" s="67" t="s">
        <v>223</v>
      </c>
      <c r="K44" s="67" t="s">
        <v>223</v>
      </c>
      <c r="L44" s="79"/>
    </row>
    <row r="45" spans="2:25">
      <c r="B45" s="64">
        <v>1</v>
      </c>
      <c r="C45" s="87" t="s">
        <v>191</v>
      </c>
      <c r="D45" s="2">
        <v>0.05</v>
      </c>
      <c r="E45" s="49">
        <f>-30*((0.25/D45^2)-1)^(1/2)</f>
        <v>-298.49623113198601</v>
      </c>
      <c r="F45" s="49">
        <f>-(2*$C$15)/($C$16*$C$17*E45)</f>
        <v>4.9704931407717492E-4</v>
      </c>
      <c r="G45" s="79">
        <f>($C$19)/($C$22*F45^2)</f>
        <v>128840.13454777465</v>
      </c>
      <c r="I45" s="83">
        <f>G45*F45^4</f>
        <v>7.8641010425805887E-9</v>
      </c>
      <c r="J45" s="83">
        <f>$C$22*$C$16*$C$17*$C$21/8/$C$18*$C$20*SUM(I45:I49)</f>
        <v>0.16977279254526634</v>
      </c>
      <c r="K45" s="83">
        <f>$C$22*$C$16*$C$17*$C$21/8/$C$18*$C$20*I45</f>
        <v>3.0264607526512286E-4</v>
      </c>
      <c r="L45" s="77">
        <f>K45/$J$45</f>
        <v>1.7826535732127318E-3</v>
      </c>
    </row>
    <row r="46" spans="2:25">
      <c r="B46" s="64">
        <v>2</v>
      </c>
      <c r="C46" s="87" t="s">
        <v>190</v>
      </c>
      <c r="D46" s="2">
        <v>0.15</v>
      </c>
      <c r="E46" s="49">
        <f t="shared" ref="E46:E49" si="5">-30*((0.25/D46^2)-1)^(1/2)</f>
        <v>-95.393920141694551</v>
      </c>
      <c r="F46" s="49">
        <f>-(2*$C$15)/($C$16*$C$17*E46)</f>
        <v>1.5553124006057852E-3</v>
      </c>
      <c r="G46" s="79">
        <f>($C$19)/($C$22*F46^2)</f>
        <v>13158.756727101556</v>
      </c>
      <c r="I46" s="49">
        <f t="shared" ref="I46:I49" si="6">G46*F46^4</f>
        <v>7.6999055263069323E-8</v>
      </c>
      <c r="J46" s="49"/>
      <c r="K46" s="49">
        <f t="shared" ref="K46:K49" si="7">$C$22*$C$16*$C$17*$C$21/8/$C$18*$C$20*I46</f>
        <v>2.9632709127607099E-3</v>
      </c>
      <c r="L46" s="79">
        <f t="shared" ref="L46:L49" si="8">K46/$J$45</f>
        <v>1.7454333337720271E-2</v>
      </c>
    </row>
    <row r="47" spans="2:25">
      <c r="B47" s="64">
        <v>3</v>
      </c>
      <c r="C47" s="87" t="s">
        <v>192</v>
      </c>
      <c r="D47" s="2">
        <v>0.25</v>
      </c>
      <c r="E47" s="49">
        <f t="shared" si="5"/>
        <v>-51.961524227066313</v>
      </c>
      <c r="F47" s="49">
        <f>-(2*$C$15)/($C$16*$C$17*E47)</f>
        <v>2.8553309231350884E-3</v>
      </c>
      <c r="G47" s="79">
        <f>($C$19)/($C$22*F47^2)</f>
        <v>3904.2465014477152</v>
      </c>
      <c r="I47" s="49">
        <f t="shared" si="6"/>
        <v>2.5951533440515952E-7</v>
      </c>
      <c r="J47" s="49"/>
      <c r="K47" s="49">
        <f t="shared" si="7"/>
        <v>9.9873204837490574E-3</v>
      </c>
      <c r="L47" s="79">
        <f t="shared" si="8"/>
        <v>5.8827567916020167E-2</v>
      </c>
    </row>
    <row r="48" spans="2:25">
      <c r="B48" s="64">
        <v>4</v>
      </c>
      <c r="C48" s="87" t="s">
        <v>193</v>
      </c>
      <c r="D48" s="64">
        <v>0.35</v>
      </c>
      <c r="E48" s="49">
        <f t="shared" si="5"/>
        <v>-30.606121836612218</v>
      </c>
      <c r="F48" s="49">
        <f>-(2*$C$15)/($C$16*$C$17*E48)</f>
        <v>4.8476362908969669E-3</v>
      </c>
      <c r="G48" s="79">
        <f>($C$19)/($C$22*F48^2)</f>
        <v>1354.5345005022689</v>
      </c>
      <c r="I48" s="49">
        <f t="shared" si="6"/>
        <v>7.4801478740310641E-7</v>
      </c>
      <c r="J48" s="49"/>
      <c r="K48" s="49">
        <f t="shared" si="7"/>
        <v>2.8786982570806093E-2</v>
      </c>
      <c r="L48" s="79">
        <f t="shared" si="8"/>
        <v>0.16956181340499921</v>
      </c>
    </row>
    <row r="49" spans="2:12">
      <c r="B49" s="67">
        <v>5</v>
      </c>
      <c r="C49" s="92" t="s">
        <v>194</v>
      </c>
      <c r="D49" s="67">
        <v>0.45</v>
      </c>
      <c r="E49" s="69">
        <f t="shared" si="5"/>
        <v>-14.529663145135576</v>
      </c>
      <c r="F49" s="69">
        <f>-(2*$C$15)/($C$16*$C$17*E49)</f>
        <v>1.0211341134116231E-2</v>
      </c>
      <c r="G49" s="70">
        <f>($C$19)/($C$22*F49^2)</f>
        <v>305.27030258233157</v>
      </c>
      <c r="I49" s="69">
        <f t="shared" si="6"/>
        <v>3.3190645400238828E-6</v>
      </c>
      <c r="J49" s="69"/>
      <c r="K49" s="69">
        <f t="shared" si="7"/>
        <v>0.12773257250268533</v>
      </c>
      <c r="L49" s="70">
        <f t="shared" si="8"/>
        <v>0.7523736317680475</v>
      </c>
    </row>
    <row r="50" spans="2:12">
      <c r="K50">
        <f>SUM(K45:K49)</f>
        <v>0.16977279254526631</v>
      </c>
      <c r="L50">
        <f>SUM(L45:L49)</f>
        <v>0.99999999999999989</v>
      </c>
    </row>
    <row r="69" spans="2:2">
      <c r="B69" t="s">
        <v>224</v>
      </c>
    </row>
    <row r="70" spans="2:2">
      <c r="B70" t="s">
        <v>225</v>
      </c>
    </row>
    <row r="86" spans="11:11" ht="16.5">
      <c r="K86" t="s">
        <v>226</v>
      </c>
    </row>
  </sheetData>
  <phoneticPr fontId="1"/>
  <pageMargins left="0.7" right="0.7" top="0.75" bottom="0.75" header="0.3" footer="0.3"/>
  <pageSetup paperSize="9" orientation="portrait" verticalDpi="0" r:id="rId1"/>
  <drawing r:id="rId2"/>
  <legacyDrawing r:id="rId3"/>
  <oleObjects>
    <oleObject progId="Equation.3" shapeId="15363" r:id="rId4"/>
    <oleObject progId="Equation.3" shapeId="15364" r:id="rId5"/>
    <oleObject progId="Equation.3" shapeId="15365" r:id="rId6"/>
    <oleObject progId="Equation.3" shapeId="15366" r:id="rId7"/>
    <oleObject progId="Equation.3" shapeId="15367" r:id="rId8"/>
    <oleObject progId="Equation.3" shapeId="15372" r:id="rId9"/>
  </oleObjects>
</worksheet>
</file>

<file path=xl/worksheets/sheet7.xml><?xml version="1.0" encoding="utf-8"?>
<worksheet xmlns="http://schemas.openxmlformats.org/spreadsheetml/2006/main" xmlns:r="http://schemas.openxmlformats.org/officeDocument/2006/relationships">
  <sheetPr codeName="Sheet9"/>
  <dimension ref="A1:Z156"/>
  <sheetViews>
    <sheetView zoomScale="90" zoomScaleNormal="90" workbookViewId="0"/>
  </sheetViews>
  <sheetFormatPr defaultRowHeight="13.5"/>
  <sheetData>
    <row r="1" spans="1:12" ht="18.75">
      <c r="A1" s="10" t="s">
        <v>227</v>
      </c>
      <c r="L1" t="s">
        <v>252</v>
      </c>
    </row>
    <row r="19" spans="1:19" s="97" customFormat="1" ht="13.5" customHeight="1">
      <c r="A19" s="10" t="s">
        <v>232</v>
      </c>
      <c r="B19"/>
      <c r="C19"/>
      <c r="D19"/>
      <c r="E19"/>
      <c r="F19" s="10" t="s">
        <v>216</v>
      </c>
      <c r="G19" s="101" t="s">
        <v>233</v>
      </c>
      <c r="N19" s="102" t="s">
        <v>234</v>
      </c>
      <c r="O19" s="100"/>
      <c r="P19" s="100"/>
      <c r="Q19" s="100"/>
    </row>
    <row r="20" spans="1:19" s="97" customFormat="1" ht="13.5" customHeight="1">
      <c r="N20" s="100"/>
      <c r="O20" s="100"/>
      <c r="P20" s="100"/>
      <c r="Q20" s="100"/>
    </row>
    <row r="21" spans="1:19" s="97" customFormat="1" ht="13.5" customHeight="1">
      <c r="N21" s="100"/>
      <c r="O21" s="100"/>
      <c r="P21" s="100"/>
      <c r="Q21" s="100"/>
    </row>
    <row r="22" spans="1:19" s="97" customFormat="1" ht="15">
      <c r="N22" s="100"/>
      <c r="O22" s="100"/>
      <c r="P22" s="100"/>
      <c r="Q22" s="100"/>
    </row>
    <row r="23" spans="1:19" s="97" customFormat="1" ht="15">
      <c r="N23" s="100"/>
      <c r="O23" s="100"/>
      <c r="P23" s="100"/>
      <c r="Q23" s="100"/>
    </row>
    <row r="24" spans="1:19" s="97" customFormat="1" ht="15">
      <c r="N24" s="100"/>
      <c r="O24" s="100"/>
      <c r="P24" s="100"/>
      <c r="Q24" s="100"/>
    </row>
    <row r="25" spans="1:19" s="97" customFormat="1" ht="15">
      <c r="N25" s="100"/>
      <c r="O25" s="100"/>
      <c r="P25" s="100"/>
      <c r="Q25" s="100"/>
    </row>
    <row r="26" spans="1:19" s="97" customFormat="1" ht="15">
      <c r="N26" s="97" t="s">
        <v>228</v>
      </c>
    </row>
    <row r="27" spans="1:19" s="97" customFormat="1" ht="15"/>
    <row r="28" spans="1:19" s="97" customFormat="1" ht="14.25" customHeight="1" thickBot="1">
      <c r="A28" s="99"/>
      <c r="B28" s="99"/>
      <c r="C28" s="99"/>
      <c r="D28" s="99"/>
    </row>
    <row r="29" spans="1:19" s="97" customFormat="1" ht="13.5" customHeight="1"/>
    <row r="30" spans="1:19" s="97" customFormat="1" ht="18.75">
      <c r="A30" s="10" t="s">
        <v>27</v>
      </c>
    </row>
    <row r="31" spans="1:19" s="97" customFormat="1" ht="15">
      <c r="N31" s="180" t="s">
        <v>229</v>
      </c>
      <c r="O31" s="180"/>
      <c r="P31" s="180"/>
      <c r="Q31" s="180"/>
      <c r="R31" s="180"/>
      <c r="S31" s="180"/>
    </row>
    <row r="32" spans="1:19" s="97" customFormat="1" ht="15">
      <c r="N32" s="180"/>
      <c r="O32" s="180"/>
      <c r="P32" s="180"/>
      <c r="Q32" s="180"/>
      <c r="R32" s="180"/>
      <c r="S32" s="180"/>
    </row>
    <row r="33" spans="1:26" s="97" customFormat="1" ht="15">
      <c r="N33" s="180"/>
      <c r="O33" s="180"/>
      <c r="P33" s="180"/>
      <c r="Q33" s="180"/>
      <c r="R33" s="180"/>
      <c r="S33" s="180"/>
    </row>
    <row r="34" spans="1:26" s="97" customFormat="1" ht="15">
      <c r="N34" s="180"/>
      <c r="O34" s="180"/>
      <c r="P34" s="180"/>
      <c r="Q34" s="180"/>
      <c r="R34" s="180"/>
      <c r="S34" s="180"/>
    </row>
    <row r="35" spans="1:26" s="97" customFormat="1" ht="15">
      <c r="F35" s="100"/>
      <c r="G35" s="100"/>
      <c r="H35" s="100"/>
      <c r="I35" s="100"/>
      <c r="N35" s="180"/>
      <c r="O35" s="180"/>
      <c r="P35" s="180"/>
      <c r="Q35" s="180"/>
      <c r="R35" s="180"/>
      <c r="S35" s="180"/>
    </row>
    <row r="36" spans="1:26" s="97" customFormat="1" ht="15">
      <c r="F36" s="100"/>
      <c r="G36" s="100"/>
      <c r="H36" s="100"/>
      <c r="I36" s="100"/>
      <c r="N36" s="98"/>
      <c r="O36" s="98"/>
      <c r="P36" s="98"/>
      <c r="Q36" s="98"/>
      <c r="R36" s="98"/>
      <c r="S36" s="98"/>
    </row>
    <row r="37" spans="1:26" s="97" customFormat="1" ht="15">
      <c r="F37" s="100"/>
      <c r="G37" s="100"/>
      <c r="H37" s="100"/>
      <c r="I37" s="100"/>
    </row>
    <row r="38" spans="1:26" s="97" customFormat="1" ht="15">
      <c r="F38" s="100"/>
      <c r="G38" s="100"/>
      <c r="H38" s="100"/>
      <c r="I38" s="100"/>
    </row>
    <row r="39" spans="1:26" s="97" customFormat="1" ht="15">
      <c r="F39" s="100"/>
      <c r="G39" s="100"/>
      <c r="H39" s="100"/>
      <c r="I39" s="100"/>
    </row>
    <row r="40" spans="1:26" s="97" customFormat="1" ht="15">
      <c r="F40" s="100"/>
      <c r="G40" s="100"/>
      <c r="H40" s="100"/>
      <c r="I40" s="100"/>
    </row>
    <row r="41" spans="1:26" s="97" customFormat="1" ht="16.5">
      <c r="F41" s="100"/>
      <c r="G41" s="100"/>
      <c r="H41" s="100"/>
      <c r="I41" s="100"/>
      <c r="N41" s="97" t="s">
        <v>230</v>
      </c>
    </row>
    <row r="42" spans="1:26" s="97" customFormat="1" ht="15">
      <c r="F42" s="100"/>
      <c r="G42" s="100"/>
      <c r="H42" s="100"/>
      <c r="I42" s="100"/>
    </row>
    <row r="43" spans="1:26" s="97" customFormat="1" ht="15">
      <c r="F43" s="100"/>
      <c r="G43" s="100"/>
      <c r="H43" s="100"/>
      <c r="I43" s="100"/>
    </row>
    <row r="44" spans="1:26" s="97" customFormat="1" ht="16.5" customHeight="1">
      <c r="F44" s="100"/>
      <c r="G44" s="100"/>
      <c r="H44" s="100"/>
      <c r="I44" s="100"/>
    </row>
    <row r="45" spans="1:26" s="97" customFormat="1" ht="13.5" customHeight="1">
      <c r="F45" s="100"/>
      <c r="G45" s="100"/>
      <c r="H45" s="100"/>
      <c r="I45" s="100"/>
    </row>
    <row r="46" spans="1:26" s="97" customFormat="1" ht="13.5" customHeight="1" thickBot="1">
      <c r="A46" s="99"/>
      <c r="B46" s="99"/>
      <c r="C46" s="99"/>
      <c r="D46" s="99"/>
      <c r="F46" s="99"/>
      <c r="G46" s="99"/>
      <c r="H46" s="99"/>
      <c r="I46" s="99"/>
      <c r="J46" s="99"/>
    </row>
    <row r="47" spans="1:26" s="97" customFormat="1" ht="13.5" customHeight="1">
      <c r="F47" s="100"/>
      <c r="G47" s="100"/>
      <c r="H47" s="100"/>
      <c r="I47" s="100"/>
    </row>
    <row r="48" spans="1:26" s="97" customFormat="1" ht="13.5" customHeight="1">
      <c r="F48" s="100"/>
      <c r="G48" s="100"/>
      <c r="H48" s="100"/>
      <c r="I48" s="100"/>
      <c r="N48" s="103" t="s">
        <v>231</v>
      </c>
      <c r="O48" s="104"/>
      <c r="P48" s="104"/>
      <c r="Q48" s="104"/>
      <c r="R48" s="104"/>
      <c r="S48" s="104"/>
      <c r="T48" s="104"/>
      <c r="V48" s="107" t="s">
        <v>235</v>
      </c>
      <c r="W48" s="107"/>
      <c r="X48" s="107"/>
      <c r="Y48" s="107"/>
      <c r="Z48" s="107"/>
    </row>
    <row r="49" spans="14:26" s="97" customFormat="1" ht="18" customHeight="1">
      <c r="N49" s="104"/>
      <c r="O49" s="104"/>
      <c r="P49" s="104"/>
      <c r="Q49" s="104"/>
      <c r="R49" s="104"/>
      <c r="S49" s="104"/>
      <c r="T49" s="104"/>
      <c r="V49" s="107" t="s">
        <v>236</v>
      </c>
      <c r="W49" s="107"/>
      <c r="X49" s="107"/>
      <c r="Y49" s="107"/>
      <c r="Z49" s="107"/>
    </row>
    <row r="50" spans="14:26" s="97" customFormat="1" ht="15">
      <c r="N50" s="104"/>
      <c r="O50" s="104"/>
      <c r="P50" s="104"/>
      <c r="Q50" s="104"/>
      <c r="R50" s="104"/>
      <c r="S50" s="104"/>
      <c r="T50" s="104"/>
      <c r="V50" s="107"/>
      <c r="W50" s="107"/>
      <c r="X50" s="107"/>
      <c r="Y50" s="107"/>
      <c r="Z50" s="107"/>
    </row>
    <row r="51" spans="14:26" s="97" customFormat="1" ht="15.75">
      <c r="N51" s="104"/>
      <c r="O51" s="104"/>
      <c r="P51" s="104"/>
      <c r="Q51" s="104"/>
      <c r="R51" s="104"/>
      <c r="S51" s="104"/>
      <c r="T51" s="104"/>
      <c r="V51" s="107"/>
      <c r="W51" s="107" t="s">
        <v>237</v>
      </c>
      <c r="X51" s="107" t="s">
        <v>238</v>
      </c>
      <c r="Y51" s="107"/>
      <c r="Z51" s="107"/>
    </row>
    <row r="52" spans="14:26" s="97" customFormat="1" ht="15">
      <c r="N52" s="104"/>
      <c r="O52" s="104"/>
      <c r="P52" s="104"/>
      <c r="Q52" s="104"/>
      <c r="R52" s="104"/>
      <c r="S52" s="104"/>
      <c r="T52" s="104"/>
      <c r="V52" s="107"/>
      <c r="W52" s="107">
        <v>1</v>
      </c>
      <c r="X52" s="107">
        <f>ATAN(W52)</f>
        <v>0.78539816339744828</v>
      </c>
      <c r="Y52" s="107"/>
      <c r="Z52" s="107"/>
    </row>
    <row r="53" spans="14:26" s="97" customFormat="1" ht="15">
      <c r="N53" s="104"/>
      <c r="O53" s="104"/>
      <c r="P53" s="104"/>
      <c r="Q53" s="104"/>
      <c r="R53" s="104"/>
      <c r="S53" s="104"/>
      <c r="T53" s="105"/>
      <c r="V53" s="107"/>
      <c r="W53" s="107">
        <f>W52*3</f>
        <v>3</v>
      </c>
      <c r="X53" s="107">
        <f t="shared" ref="X53:X73" si="0">ATAN(W53)</f>
        <v>1.2490457723982544</v>
      </c>
      <c r="Y53" s="107"/>
      <c r="Z53" s="107"/>
    </row>
    <row r="54" spans="14:26" s="97" customFormat="1" ht="15">
      <c r="N54" s="104"/>
      <c r="O54" s="104"/>
      <c r="P54" s="104"/>
      <c r="Q54" s="104"/>
      <c r="R54" s="104"/>
      <c r="S54" s="104"/>
      <c r="T54" s="105"/>
      <c r="V54" s="107"/>
      <c r="W54" s="107">
        <f t="shared" ref="W54:W73" si="1">W53*2</f>
        <v>6</v>
      </c>
      <c r="X54" s="107">
        <f t="shared" si="0"/>
        <v>1.4056476493802699</v>
      </c>
      <c r="Y54" s="107"/>
      <c r="Z54" s="107"/>
    </row>
    <row r="55" spans="14:26" s="97" customFormat="1" ht="15">
      <c r="N55" s="104"/>
      <c r="O55" s="104"/>
      <c r="P55" s="104"/>
      <c r="Q55" s="104"/>
      <c r="R55" s="104"/>
      <c r="S55" s="104"/>
      <c r="T55" s="105"/>
      <c r="V55" s="107"/>
      <c r="W55" s="107">
        <f t="shared" si="1"/>
        <v>12</v>
      </c>
      <c r="X55" s="107">
        <f t="shared" si="0"/>
        <v>1.4876550949064553</v>
      </c>
      <c r="Y55" s="107"/>
      <c r="Z55" s="107"/>
    </row>
    <row r="56" spans="14:26" s="97" customFormat="1" ht="15">
      <c r="N56" s="104"/>
      <c r="O56" s="104"/>
      <c r="P56" s="104"/>
      <c r="Q56" s="104"/>
      <c r="R56" s="104"/>
      <c r="S56" s="104"/>
      <c r="T56" s="104"/>
      <c r="V56" s="107"/>
      <c r="W56" s="107">
        <f t="shared" si="1"/>
        <v>24</v>
      </c>
      <c r="X56" s="107">
        <f t="shared" si="0"/>
        <v>1.5291537476963082</v>
      </c>
      <c r="Y56" s="107"/>
      <c r="Z56" s="107"/>
    </row>
    <row r="57" spans="14:26" s="97" customFormat="1" ht="15">
      <c r="N57" s="104"/>
      <c r="O57" s="104"/>
      <c r="P57" s="104"/>
      <c r="Q57" s="104"/>
      <c r="R57" s="104"/>
      <c r="S57" s="104"/>
      <c r="T57" s="104"/>
      <c r="V57" s="107"/>
      <c r="W57" s="107">
        <f t="shared" si="1"/>
        <v>48</v>
      </c>
      <c r="X57" s="107">
        <f t="shared" si="0"/>
        <v>1.5499660067586796</v>
      </c>
      <c r="Y57" s="107"/>
      <c r="Z57" s="107"/>
    </row>
    <row r="58" spans="14:26" s="97" customFormat="1" ht="15">
      <c r="N58" s="104"/>
      <c r="O58" s="104"/>
      <c r="P58" s="104"/>
      <c r="Q58" s="104"/>
      <c r="R58" s="104"/>
      <c r="S58" s="104"/>
      <c r="T58" s="104"/>
      <c r="V58" s="107"/>
      <c r="W58" s="107">
        <f t="shared" si="1"/>
        <v>96</v>
      </c>
      <c r="X58" s="107">
        <f t="shared" si="0"/>
        <v>1.5603800368639269</v>
      </c>
      <c r="Y58" s="107"/>
      <c r="Z58" s="107"/>
    </row>
    <row r="59" spans="14:26" s="97" customFormat="1" ht="15">
      <c r="N59" s="104"/>
      <c r="O59" s="104"/>
      <c r="P59" s="104"/>
      <c r="Q59" s="104"/>
      <c r="R59" s="104"/>
      <c r="S59" s="104"/>
      <c r="T59" s="104"/>
      <c r="V59" s="107"/>
      <c r="W59" s="107">
        <f t="shared" si="1"/>
        <v>192</v>
      </c>
      <c r="X59" s="107">
        <f t="shared" si="0"/>
        <v>1.5655880405558247</v>
      </c>
      <c r="Y59" s="107"/>
      <c r="Z59" s="107"/>
    </row>
    <row r="60" spans="14:26" s="97" customFormat="1" ht="15">
      <c r="N60" s="104"/>
      <c r="O60" s="104"/>
      <c r="P60" s="104"/>
      <c r="Q60" s="104"/>
      <c r="R60" s="104"/>
      <c r="S60" s="104"/>
      <c r="T60" s="104"/>
      <c r="V60" s="107"/>
      <c r="W60" s="107">
        <f t="shared" si="1"/>
        <v>384</v>
      </c>
      <c r="X60" s="107">
        <f t="shared" si="0"/>
        <v>1.5681921660150846</v>
      </c>
      <c r="Y60" s="107"/>
      <c r="Z60" s="107"/>
    </row>
    <row r="61" spans="14:26" s="97" customFormat="1" ht="15">
      <c r="N61" s="104"/>
      <c r="O61" s="104"/>
      <c r="P61" s="104"/>
      <c r="Q61" s="104"/>
      <c r="R61" s="104"/>
      <c r="S61" s="104"/>
      <c r="T61" s="104"/>
      <c r="V61" s="107"/>
      <c r="W61" s="107">
        <f t="shared" si="1"/>
        <v>768</v>
      </c>
      <c r="X61" s="107">
        <f t="shared" si="0"/>
        <v>1.5694942441974225</v>
      </c>
      <c r="Y61" s="107"/>
      <c r="Z61" s="107"/>
    </row>
    <row r="62" spans="14:26" s="97" customFormat="1" ht="15">
      <c r="N62" s="104"/>
      <c r="O62" s="104"/>
      <c r="P62" s="104"/>
      <c r="Q62" s="104"/>
      <c r="R62" s="104"/>
      <c r="S62" s="104"/>
      <c r="T62" s="104"/>
      <c r="V62" s="107"/>
      <c r="W62" s="107">
        <f t="shared" si="1"/>
        <v>1536</v>
      </c>
      <c r="X62" s="107">
        <f t="shared" si="0"/>
        <v>1.5701452852202125</v>
      </c>
      <c r="Y62" s="107"/>
      <c r="Z62" s="107"/>
    </row>
    <row r="63" spans="14:26" s="97" customFormat="1" ht="15">
      <c r="N63" s="104"/>
      <c r="O63" s="104"/>
      <c r="P63" s="104"/>
      <c r="Q63" s="104"/>
      <c r="R63" s="104"/>
      <c r="S63" s="104"/>
      <c r="T63" s="104"/>
      <c r="V63" s="107"/>
      <c r="W63" s="107">
        <f t="shared" si="1"/>
        <v>3072</v>
      </c>
      <c r="X63" s="107">
        <f t="shared" si="0"/>
        <v>1.570470805973061</v>
      </c>
      <c r="Y63" s="107"/>
      <c r="Z63" s="107"/>
    </row>
    <row r="64" spans="14:26" s="97" customFormat="1" ht="15">
      <c r="N64" s="104"/>
      <c r="O64" s="104"/>
      <c r="P64" s="104"/>
      <c r="Q64" s="104"/>
      <c r="R64" s="104"/>
      <c r="S64" s="104"/>
      <c r="T64" s="104"/>
      <c r="V64" s="107"/>
      <c r="W64" s="107">
        <f t="shared" si="1"/>
        <v>6144</v>
      </c>
      <c r="X64" s="107">
        <f t="shared" si="0"/>
        <v>1.5706335663796671</v>
      </c>
      <c r="Y64" s="107"/>
      <c r="Z64" s="107"/>
    </row>
    <row r="65" spans="14:26" s="97" customFormat="1" ht="15">
      <c r="N65" s="104"/>
      <c r="O65" s="104"/>
      <c r="P65" s="104"/>
      <c r="Q65" s="104"/>
      <c r="R65" s="104"/>
      <c r="S65" s="104"/>
      <c r="T65" s="104"/>
      <c r="V65" s="107"/>
      <c r="W65" s="107">
        <f t="shared" si="1"/>
        <v>12288</v>
      </c>
      <c r="X65" s="107">
        <f t="shared" si="0"/>
        <v>1.5707149465867429</v>
      </c>
      <c r="Y65" s="107"/>
      <c r="Z65" s="107"/>
    </row>
    <row r="66" spans="14:26" s="97" customFormat="1" ht="15">
      <c r="N66" s="104"/>
      <c r="O66" s="104"/>
      <c r="P66" s="104"/>
      <c r="Q66" s="104"/>
      <c r="R66" s="104"/>
      <c r="S66" s="104"/>
      <c r="T66" s="104"/>
      <c r="V66" s="107"/>
      <c r="W66" s="107">
        <f t="shared" si="1"/>
        <v>24576</v>
      </c>
      <c r="X66" s="107">
        <f t="shared" si="0"/>
        <v>1.5707556366907525</v>
      </c>
      <c r="Y66" s="107"/>
      <c r="Z66" s="107"/>
    </row>
    <row r="67" spans="14:26" s="97" customFormat="1" ht="15">
      <c r="N67" s="104"/>
      <c r="O67" s="104"/>
      <c r="P67" s="104"/>
      <c r="Q67" s="104"/>
      <c r="R67" s="104"/>
      <c r="S67" s="104"/>
      <c r="T67" s="104"/>
      <c r="V67" s="107"/>
      <c r="W67" s="107">
        <f t="shared" si="1"/>
        <v>49152</v>
      </c>
      <c r="X67" s="107">
        <f t="shared" si="0"/>
        <v>1.5707759817428162</v>
      </c>
      <c r="Y67" s="107"/>
      <c r="Z67" s="107"/>
    </row>
    <row r="68" spans="14:26" s="97" customFormat="1" ht="15">
      <c r="N68" s="104"/>
      <c r="O68" s="104"/>
      <c r="P68" s="104"/>
      <c r="Q68" s="104"/>
      <c r="R68" s="104"/>
      <c r="S68" s="104"/>
      <c r="T68" s="104"/>
      <c r="V68" s="107"/>
      <c r="W68" s="107">
        <f t="shared" si="1"/>
        <v>98304</v>
      </c>
      <c r="X68" s="107">
        <f t="shared" si="0"/>
        <v>1.5707861542688553</v>
      </c>
      <c r="Y68" s="107"/>
      <c r="Z68" s="107"/>
    </row>
    <row r="69" spans="14:26" s="97" customFormat="1" ht="15">
      <c r="N69" s="104"/>
      <c r="O69" s="104"/>
      <c r="P69" s="104"/>
      <c r="Q69" s="104"/>
      <c r="R69" s="104"/>
      <c r="S69" s="104"/>
      <c r="T69" s="104"/>
      <c r="V69" s="107"/>
      <c r="W69" s="107">
        <f t="shared" si="1"/>
        <v>196608</v>
      </c>
      <c r="X69" s="107">
        <f t="shared" si="0"/>
        <v>1.5707912405318758</v>
      </c>
      <c r="Y69" s="107"/>
      <c r="Z69" s="107"/>
    </row>
    <row r="70" spans="14:26" s="97" customFormat="1" ht="15">
      <c r="N70" s="104"/>
      <c r="O70" s="104"/>
      <c r="P70" s="104"/>
      <c r="Q70" s="104"/>
      <c r="R70" s="104"/>
      <c r="S70" s="104"/>
      <c r="T70" s="104"/>
      <c r="V70" s="107"/>
      <c r="W70" s="107">
        <f t="shared" si="1"/>
        <v>393216</v>
      </c>
      <c r="X70" s="107">
        <f t="shared" si="0"/>
        <v>1.5707937836633863</v>
      </c>
      <c r="Y70" s="107"/>
      <c r="Z70" s="107"/>
    </row>
    <row r="71" spans="14:26" s="97" customFormat="1" ht="15">
      <c r="N71" s="104"/>
      <c r="O71" s="104"/>
      <c r="P71" s="104"/>
      <c r="Q71" s="104"/>
      <c r="R71" s="104"/>
      <c r="S71" s="104"/>
      <c r="T71" s="104"/>
      <c r="V71" s="107"/>
      <c r="W71" s="107">
        <f t="shared" si="1"/>
        <v>786432</v>
      </c>
      <c r="X71" s="107">
        <f t="shared" si="0"/>
        <v>1.5707950552291414</v>
      </c>
      <c r="Y71" s="107"/>
      <c r="Z71" s="107" t="s">
        <v>239</v>
      </c>
    </row>
    <row r="72" spans="14:26" s="97" customFormat="1" ht="15">
      <c r="N72" s="104"/>
      <c r="O72" s="104"/>
      <c r="P72" s="104"/>
      <c r="Q72" s="104"/>
      <c r="R72" s="104"/>
      <c r="S72" s="104"/>
      <c r="T72" s="104"/>
      <c r="V72" s="107"/>
      <c r="W72" s="107">
        <f t="shared" si="1"/>
        <v>1572864</v>
      </c>
      <c r="X72" s="107">
        <f t="shared" si="0"/>
        <v>1.5707956910120191</v>
      </c>
      <c r="Y72" s="107"/>
      <c r="Z72" s="108" t="s">
        <v>240</v>
      </c>
    </row>
    <row r="73" spans="14:26" s="97" customFormat="1" ht="15">
      <c r="N73" s="104"/>
      <c r="O73" s="104"/>
      <c r="P73" s="104"/>
      <c r="Q73" s="104"/>
      <c r="R73" s="104"/>
      <c r="S73" s="104"/>
      <c r="T73" s="104"/>
      <c r="V73" s="107"/>
      <c r="W73" s="107">
        <f t="shared" si="1"/>
        <v>3145728</v>
      </c>
      <c r="X73" s="106">
        <f t="shared" si="0"/>
        <v>1.5707960089034578</v>
      </c>
      <c r="Y73" s="107"/>
      <c r="Z73" s="106">
        <f>PI()/2</f>
        <v>1.5707963267948966</v>
      </c>
    </row>
    <row r="74" spans="14:26" s="97" customFormat="1" ht="15">
      <c r="N74" s="104"/>
      <c r="O74" s="104"/>
      <c r="P74" s="104"/>
      <c r="Q74" s="104"/>
      <c r="R74" s="104"/>
      <c r="S74" s="104"/>
      <c r="T74" s="104"/>
    </row>
    <row r="75" spans="14:26" s="97" customFormat="1" ht="15" customHeight="1">
      <c r="N75" s="104"/>
      <c r="O75" s="104"/>
      <c r="P75" s="104"/>
      <c r="Q75" s="104"/>
      <c r="R75" s="104"/>
      <c r="S75" s="104"/>
      <c r="T75" s="104"/>
    </row>
    <row r="76" spans="14:26" s="97" customFormat="1" ht="15">
      <c r="N76" s="104"/>
      <c r="O76" s="104"/>
      <c r="P76" s="104"/>
      <c r="Q76" s="104"/>
      <c r="R76" s="104"/>
      <c r="S76" s="104"/>
      <c r="T76" s="104"/>
    </row>
    <row r="77" spans="14:26" s="97" customFormat="1" ht="15">
      <c r="N77" s="104"/>
      <c r="O77" s="104"/>
      <c r="P77" s="104"/>
      <c r="Q77" s="104"/>
      <c r="R77" s="104"/>
      <c r="S77" s="104"/>
      <c r="T77" s="104"/>
    </row>
    <row r="78" spans="14:26" s="97" customFormat="1" ht="15">
      <c r="N78" s="104"/>
      <c r="O78" s="104"/>
      <c r="P78" s="104"/>
      <c r="Q78" s="104"/>
      <c r="R78" s="104"/>
      <c r="S78" s="104"/>
      <c r="T78" s="104"/>
    </row>
    <row r="79" spans="14:26" s="97" customFormat="1" ht="15">
      <c r="N79" s="104"/>
      <c r="O79" s="104"/>
      <c r="P79" s="104"/>
      <c r="Q79" s="104"/>
      <c r="R79" s="104"/>
      <c r="S79" s="104"/>
      <c r="T79" s="104"/>
    </row>
    <row r="80" spans="14:26" s="97" customFormat="1" ht="15">
      <c r="N80" s="104"/>
      <c r="O80" s="104"/>
      <c r="P80" s="104"/>
      <c r="Q80" s="104"/>
      <c r="R80" s="104"/>
      <c r="S80" s="104"/>
      <c r="T80" s="104"/>
    </row>
    <row r="81" spans="14:26" s="97" customFormat="1" ht="15">
      <c r="N81" s="104"/>
      <c r="O81" s="104"/>
      <c r="P81" s="104"/>
      <c r="Q81" s="104"/>
      <c r="R81" s="104"/>
      <c r="S81" s="104"/>
      <c r="T81" s="104"/>
    </row>
    <row r="82" spans="14:26" s="97" customFormat="1" ht="15">
      <c r="N82" s="104"/>
      <c r="O82" s="104"/>
      <c r="P82" s="104"/>
      <c r="Q82" s="104"/>
      <c r="R82" s="104"/>
      <c r="S82" s="104"/>
      <c r="T82" s="104"/>
    </row>
    <row r="83" spans="14:26" s="97" customFormat="1" ht="15">
      <c r="N83" s="104"/>
      <c r="O83" s="104"/>
      <c r="P83" s="104"/>
      <c r="Q83" s="104"/>
      <c r="R83" s="104"/>
      <c r="S83" s="104"/>
      <c r="T83" s="104"/>
    </row>
    <row r="84" spans="14:26" s="97" customFormat="1" ht="15">
      <c r="N84" s="104"/>
      <c r="O84" s="104"/>
      <c r="P84" s="104"/>
      <c r="Q84" s="104"/>
      <c r="R84" s="104"/>
      <c r="S84" s="104"/>
      <c r="T84" s="104"/>
    </row>
    <row r="85" spans="14:26" s="97" customFormat="1" ht="15">
      <c r="N85" s="104"/>
      <c r="O85" s="104"/>
      <c r="P85" s="104"/>
      <c r="Q85" s="104"/>
      <c r="R85" s="104"/>
      <c r="S85" s="104"/>
      <c r="T85" s="104"/>
    </row>
    <row r="86" spans="14:26" s="97" customFormat="1" ht="15">
      <c r="N86" s="104"/>
      <c r="O86" s="104"/>
      <c r="P86" s="104"/>
      <c r="Q86" s="104"/>
      <c r="R86" s="104"/>
      <c r="S86" s="104"/>
      <c r="T86" s="104"/>
      <c r="W86"/>
      <c r="X86"/>
      <c r="Y86"/>
      <c r="Z86"/>
    </row>
    <row r="87" spans="14:26" s="97" customFormat="1" ht="15">
      <c r="N87" s="104"/>
      <c r="O87" s="104"/>
      <c r="P87" s="104"/>
      <c r="Q87" s="104"/>
      <c r="R87" s="104"/>
      <c r="S87" s="104"/>
      <c r="T87" s="104"/>
      <c r="W87"/>
      <c r="X87"/>
      <c r="Y87"/>
      <c r="Z87"/>
    </row>
    <row r="88" spans="14:26" s="97" customFormat="1" ht="15">
      <c r="N88" s="104"/>
      <c r="O88" s="104"/>
      <c r="P88" s="104"/>
      <c r="Q88" s="104"/>
      <c r="R88" s="104"/>
      <c r="S88" s="104"/>
      <c r="T88" s="104"/>
      <c r="W88"/>
      <c r="X88"/>
      <c r="Y88"/>
      <c r="Z88"/>
    </row>
    <row r="89" spans="14:26" s="97" customFormat="1" ht="15">
      <c r="N89" s="104"/>
      <c r="O89" s="104"/>
      <c r="P89" s="104"/>
      <c r="Q89" s="104"/>
      <c r="R89" s="104"/>
      <c r="S89" s="104"/>
      <c r="T89" s="104"/>
      <c r="W89"/>
      <c r="X89"/>
      <c r="Y89"/>
      <c r="Z89"/>
    </row>
    <row r="90" spans="14:26" s="97" customFormat="1" ht="15">
      <c r="N90" s="104"/>
      <c r="O90" s="104"/>
      <c r="P90" s="104"/>
      <c r="Q90" s="104"/>
      <c r="R90" s="104"/>
      <c r="S90" s="104"/>
      <c r="T90" s="104"/>
      <c r="W90"/>
      <c r="X90"/>
      <c r="Y90"/>
      <c r="Z90"/>
    </row>
    <row r="91" spans="14:26" s="97" customFormat="1" ht="15">
      <c r="N91" s="104"/>
      <c r="O91" s="104"/>
      <c r="P91" s="104"/>
      <c r="Q91" s="104"/>
      <c r="R91" s="104"/>
      <c r="S91" s="104"/>
      <c r="T91" s="104"/>
      <c r="W91"/>
      <c r="X91"/>
      <c r="Y91"/>
      <c r="Z91"/>
    </row>
    <row r="92" spans="14:26" s="97" customFormat="1" ht="15">
      <c r="S92"/>
      <c r="T92"/>
    </row>
    <row r="93" spans="14:26" s="97" customFormat="1" ht="15">
      <c r="S93"/>
      <c r="T93"/>
    </row>
    <row r="94" spans="14:26" s="97" customFormat="1" ht="15">
      <c r="S94"/>
      <c r="T94"/>
    </row>
    <row r="95" spans="14:26" s="97" customFormat="1" ht="15">
      <c r="O95"/>
      <c r="P95"/>
      <c r="Q95"/>
      <c r="R95"/>
      <c r="S95"/>
      <c r="T95"/>
    </row>
    <row r="96" spans="14:26" s="97" customFormat="1" ht="15">
      <c r="O96"/>
      <c r="P96"/>
      <c r="Q96"/>
      <c r="R96"/>
      <c r="S96"/>
      <c r="T96"/>
    </row>
    <row r="97" spans="14:20" s="97" customFormat="1" ht="15">
      <c r="O97"/>
      <c r="P97"/>
      <c r="Q97"/>
      <c r="R97"/>
      <c r="S97"/>
      <c r="T97"/>
    </row>
    <row r="98" spans="14:20" s="97" customFormat="1" ht="15">
      <c r="O98"/>
      <c r="P98"/>
      <c r="Q98"/>
      <c r="R98"/>
      <c r="S98"/>
      <c r="T98"/>
    </row>
    <row r="99" spans="14:20" s="97" customFormat="1" ht="15">
      <c r="N99"/>
      <c r="P99"/>
      <c r="Q99"/>
      <c r="R99"/>
      <c r="S99"/>
      <c r="T99"/>
    </row>
    <row r="100" spans="14:20" s="97" customFormat="1" ht="15">
      <c r="N100"/>
      <c r="P100"/>
      <c r="Q100"/>
      <c r="R100"/>
      <c r="S100"/>
      <c r="T100"/>
    </row>
    <row r="101" spans="14:20" s="97" customFormat="1" ht="15">
      <c r="N101"/>
      <c r="O101"/>
      <c r="P101"/>
      <c r="Q101"/>
      <c r="S101"/>
      <c r="T101"/>
    </row>
    <row r="102" spans="14:20" ht="15">
      <c r="R102" s="97"/>
    </row>
    <row r="103" spans="14:20" ht="15">
      <c r="R103" s="97"/>
    </row>
    <row r="104" spans="14:20" ht="15">
      <c r="R104" s="97"/>
    </row>
    <row r="105" spans="14:20" ht="15">
      <c r="R105" s="97"/>
    </row>
    <row r="106" spans="14:20" ht="15">
      <c r="N106" s="97"/>
      <c r="O106" s="97"/>
      <c r="P106" s="97"/>
      <c r="Q106" s="97"/>
      <c r="R106" s="97"/>
    </row>
    <row r="107" spans="14:20" ht="15">
      <c r="N107" s="97"/>
      <c r="O107" s="97"/>
      <c r="P107" s="97"/>
      <c r="Q107" s="97"/>
      <c r="R107" s="97"/>
    </row>
    <row r="108" spans="14:20" ht="15">
      <c r="N108" s="97"/>
      <c r="O108" s="97"/>
      <c r="P108" s="97"/>
      <c r="Q108" s="97"/>
      <c r="R108" s="97"/>
    </row>
    <row r="109" spans="14:20" ht="15">
      <c r="N109" s="97"/>
      <c r="O109" s="97"/>
      <c r="P109" s="97"/>
      <c r="Q109" s="97"/>
      <c r="R109" s="97"/>
    </row>
    <row r="110" spans="14:20" ht="15">
      <c r="N110" s="97"/>
      <c r="O110" s="97"/>
      <c r="P110" s="97"/>
      <c r="Q110" s="97"/>
      <c r="R110" s="97"/>
    </row>
    <row r="111" spans="14:20" ht="15">
      <c r="N111" s="97"/>
      <c r="O111" s="97"/>
      <c r="P111" s="97"/>
      <c r="Q111" s="97"/>
      <c r="R111" s="97"/>
    </row>
    <row r="112" spans="14:20" ht="15">
      <c r="N112" s="97"/>
      <c r="O112" s="97"/>
      <c r="P112" s="97"/>
      <c r="Q112" s="97"/>
      <c r="R112" s="97"/>
    </row>
    <row r="113" spans="14:18" ht="15">
      <c r="N113" s="97"/>
      <c r="O113" s="97"/>
      <c r="P113" s="97"/>
      <c r="Q113" s="97"/>
      <c r="R113" s="97"/>
    </row>
    <row r="114" spans="14:18" ht="15">
      <c r="N114" s="97"/>
      <c r="O114" s="97"/>
      <c r="P114" s="97"/>
      <c r="Q114" s="97"/>
      <c r="R114" s="97"/>
    </row>
    <row r="115" spans="14:18" ht="15">
      <c r="N115" s="97"/>
      <c r="O115" s="97"/>
      <c r="P115" s="97"/>
      <c r="Q115" s="97"/>
      <c r="R115" s="97"/>
    </row>
    <row r="116" spans="14:18" ht="15">
      <c r="N116" s="97"/>
      <c r="O116" s="97"/>
      <c r="P116" s="97"/>
      <c r="Q116" s="97"/>
      <c r="R116" s="97"/>
    </row>
    <row r="117" spans="14:18" ht="15">
      <c r="N117" s="97"/>
      <c r="O117" s="97"/>
      <c r="P117" s="97"/>
      <c r="Q117" s="97"/>
      <c r="R117" s="97"/>
    </row>
    <row r="118" spans="14:18" ht="15">
      <c r="N118" s="97"/>
      <c r="O118" s="97"/>
      <c r="P118" s="97"/>
      <c r="Q118" s="97"/>
      <c r="R118" s="97"/>
    </row>
    <row r="119" spans="14:18" ht="15">
      <c r="N119" s="97"/>
      <c r="O119" s="97"/>
      <c r="P119" s="97"/>
      <c r="Q119" s="97"/>
      <c r="R119" s="97"/>
    </row>
    <row r="120" spans="14:18" ht="15">
      <c r="N120" s="97"/>
      <c r="O120" s="97"/>
      <c r="P120" s="97"/>
      <c r="Q120" s="97"/>
      <c r="R120" s="97"/>
    </row>
    <row r="121" spans="14:18" ht="15">
      <c r="N121" s="97"/>
      <c r="O121" s="97"/>
      <c r="P121" s="97"/>
      <c r="Q121" s="97"/>
      <c r="R121" s="97"/>
    </row>
    <row r="122" spans="14:18" ht="15">
      <c r="N122" s="97"/>
      <c r="O122" s="97"/>
      <c r="P122" s="97"/>
      <c r="Q122" s="97"/>
      <c r="R122" s="97"/>
    </row>
    <row r="136" spans="10:14" ht="15">
      <c r="J136" s="97"/>
    </row>
    <row r="137" spans="10:14" ht="15">
      <c r="J137" s="97"/>
    </row>
    <row r="138" spans="10:14" ht="15">
      <c r="J138" s="97"/>
    </row>
    <row r="139" spans="10:14" ht="15">
      <c r="J139" s="97"/>
    </row>
    <row r="140" spans="10:14" ht="15">
      <c r="J140" s="97"/>
    </row>
    <row r="141" spans="10:14" ht="15">
      <c r="N141" s="97"/>
    </row>
    <row r="142" spans="10:14" ht="15">
      <c r="N142" s="97"/>
    </row>
    <row r="143" spans="10:14" ht="15">
      <c r="N143" s="97"/>
    </row>
    <row r="144" spans="10:14" ht="15">
      <c r="N144" s="97"/>
    </row>
    <row r="145" spans="9:16" ht="15">
      <c r="N145" s="97"/>
    </row>
    <row r="146" spans="9:16" ht="15">
      <c r="N146" s="97"/>
    </row>
    <row r="147" spans="9:16" ht="15">
      <c r="N147" s="97"/>
    </row>
    <row r="148" spans="9:16" ht="15">
      <c r="N148" s="97"/>
    </row>
    <row r="149" spans="9:16" ht="15">
      <c r="N149" s="97"/>
    </row>
    <row r="150" spans="9:16" ht="15">
      <c r="N150" s="97"/>
    </row>
    <row r="151" spans="9:16" ht="15">
      <c r="P151" s="97"/>
    </row>
    <row r="152" spans="9:16" ht="15">
      <c r="P152" s="97"/>
    </row>
    <row r="153" spans="9:16" ht="15">
      <c r="P153" s="97"/>
    </row>
    <row r="154" spans="9:16" ht="15">
      <c r="I154" s="97"/>
    </row>
    <row r="155" spans="9:16" ht="15">
      <c r="I155" s="97"/>
    </row>
    <row r="156" spans="9:16" ht="15">
      <c r="I156" s="97"/>
    </row>
  </sheetData>
  <mergeCells count="1">
    <mergeCell ref="N31:S35"/>
  </mergeCells>
  <phoneticPr fontId="1"/>
  <pageMargins left="0.7" right="0.7" top="0.75" bottom="0.75" header="0.3" footer="0.3"/>
  <pageSetup paperSize="9" orientation="portrait" verticalDpi="0" r:id="rId1"/>
  <drawing r:id="rId2"/>
  <legacyDrawing r:id="rId3"/>
  <oleObjects>
    <oleObject progId="Equation.3" shapeId="16385" r:id="rId4"/>
    <oleObject progId="Equation.3" shapeId="16386" r:id="rId5"/>
    <oleObject progId="Equation.3" shapeId="16389" r:id="rId6"/>
    <oleObject progId="Equation.3" shapeId="16390" r:id="rId7"/>
    <oleObject progId="Equation.3" shapeId="16391" r:id="rId8"/>
    <oleObject progId="Equation.3" shapeId="16392" r:id="rId9"/>
    <oleObject progId="Equation.3" shapeId="16393" r:id="rId10"/>
    <oleObject progId="Equation.3" shapeId="16394" r:id="rId11"/>
    <oleObject progId="Equation.3" shapeId="16396" r:id="rId12"/>
  </oleObjects>
</worksheet>
</file>

<file path=xl/worksheets/sheet8.xml><?xml version="1.0" encoding="utf-8"?>
<worksheet xmlns="http://schemas.openxmlformats.org/spreadsheetml/2006/main" xmlns:r="http://schemas.openxmlformats.org/officeDocument/2006/relationships">
  <sheetPr codeName="Sheet1"/>
  <dimension ref="A1:L95"/>
  <sheetViews>
    <sheetView zoomScale="90" zoomScaleNormal="90" workbookViewId="0"/>
  </sheetViews>
  <sheetFormatPr defaultRowHeight="15"/>
  <cols>
    <col min="1" max="16384" width="9" style="97"/>
  </cols>
  <sheetData>
    <row r="1" spans="1:12" customFormat="1" ht="18.75">
      <c r="A1" s="10" t="s">
        <v>251</v>
      </c>
      <c r="L1" t="s">
        <v>252</v>
      </c>
    </row>
    <row r="2" spans="1:12" customFormat="1" ht="13.5"/>
    <row r="3" spans="1:12" customFormat="1" ht="13.5"/>
    <row r="4" spans="1:12" customFormat="1" ht="13.5"/>
    <row r="5" spans="1:12" customFormat="1" ht="13.5"/>
    <row r="6" spans="1:12" customFormat="1" ht="13.5"/>
    <row r="7" spans="1:12" customFormat="1" ht="13.5"/>
    <row r="8" spans="1:12" customFormat="1" ht="13.5"/>
    <row r="9" spans="1:12" customFormat="1" ht="13.5"/>
    <row r="10" spans="1:12">
      <c r="B10" s="109"/>
      <c r="C10" s="109"/>
      <c r="D10" s="109"/>
      <c r="E10" s="109"/>
      <c r="F10" s="109"/>
      <c r="G10" s="109"/>
      <c r="H10" s="109"/>
    </row>
    <row r="11" spans="1:12">
      <c r="B11" s="109"/>
      <c r="C11" s="109"/>
      <c r="D11" s="109"/>
      <c r="E11" s="109"/>
      <c r="F11" s="109"/>
      <c r="G11" s="109"/>
      <c r="H11" s="109"/>
    </row>
    <row r="12" spans="1:12">
      <c r="B12" s="109"/>
      <c r="C12" s="109"/>
      <c r="D12" s="109"/>
      <c r="E12" s="109"/>
      <c r="F12" s="109"/>
      <c r="G12" s="109"/>
      <c r="H12" s="109"/>
    </row>
    <row r="18" spans="2:6">
      <c r="B18" s="97" t="s">
        <v>241</v>
      </c>
      <c r="F18" s="97" t="s">
        <v>242</v>
      </c>
    </row>
    <row r="37" spans="2:7" ht="18">
      <c r="B37" s="110" t="s">
        <v>253</v>
      </c>
      <c r="C37" s="110">
        <v>10</v>
      </c>
      <c r="D37" s="97" t="s">
        <v>243</v>
      </c>
    </row>
    <row r="38" spans="2:7" ht="18">
      <c r="B38" s="111" t="s">
        <v>244</v>
      </c>
      <c r="C38" s="110">
        <f>2*$C$40/$C$39^2</f>
        <v>4.0000000000000001E-3</v>
      </c>
      <c r="D38" s="97" t="s">
        <v>245</v>
      </c>
    </row>
    <row r="39" spans="2:7">
      <c r="B39" s="111" t="s">
        <v>246</v>
      </c>
      <c r="C39" s="110">
        <v>50</v>
      </c>
      <c r="D39" s="97" t="s">
        <v>3</v>
      </c>
    </row>
    <row r="40" spans="2:7" ht="18">
      <c r="B40" s="110" t="s">
        <v>247</v>
      </c>
      <c r="C40" s="110">
        <f>0.1*E40</f>
        <v>5</v>
      </c>
      <c r="D40" s="97" t="s">
        <v>243</v>
      </c>
      <c r="E40" s="97">
        <v>50</v>
      </c>
      <c r="G40" s="97" t="s">
        <v>254</v>
      </c>
    </row>
    <row r="42" spans="2:7">
      <c r="E42" s="181" t="s">
        <v>248</v>
      </c>
      <c r="F42" s="181"/>
    </row>
    <row r="43" spans="2:7" ht="16.5">
      <c r="B43" s="109" t="s">
        <v>79</v>
      </c>
      <c r="C43" s="109" t="s">
        <v>189</v>
      </c>
      <c r="D43" s="109" t="s">
        <v>249</v>
      </c>
      <c r="E43" s="109" t="s">
        <v>189</v>
      </c>
      <c r="F43" s="109" t="s">
        <v>249</v>
      </c>
    </row>
    <row r="44" spans="2:7" ht="18">
      <c r="B44" s="97" t="s">
        <v>3</v>
      </c>
      <c r="C44" s="97" t="s">
        <v>250</v>
      </c>
      <c r="D44" s="97" t="s">
        <v>243</v>
      </c>
      <c r="E44" s="97" t="s">
        <v>250</v>
      </c>
      <c r="F44" s="97" t="s">
        <v>243</v>
      </c>
    </row>
    <row r="45" spans="2:7">
      <c r="B45" s="97">
        <v>0</v>
      </c>
      <c r="C45" s="97">
        <f t="shared" ref="C45:C95" si="0">$C$38*(B45+$C$39)</f>
        <v>0.2</v>
      </c>
      <c r="D45" s="97">
        <f t="shared" ref="D45:D95" si="1">-$C$37-$C$38*(B45^2/2+$C$39*B45)</f>
        <v>-10</v>
      </c>
      <c r="E45" s="97">
        <f t="shared" ref="E45:E95" si="2">$C$40/$C$39</f>
        <v>0.1</v>
      </c>
      <c r="F45" s="97">
        <f t="shared" ref="F45:F95" si="3">-$C$37-E45*B45</f>
        <v>-10</v>
      </c>
    </row>
    <row r="46" spans="2:7">
      <c r="B46" s="97">
        <v>-1</v>
      </c>
      <c r="C46" s="97">
        <f t="shared" si="0"/>
        <v>0.19600000000000001</v>
      </c>
      <c r="D46" s="97">
        <f t="shared" si="1"/>
        <v>-9.8019999999999996</v>
      </c>
      <c r="E46" s="97">
        <f t="shared" si="2"/>
        <v>0.1</v>
      </c>
      <c r="F46" s="97">
        <f t="shared" si="3"/>
        <v>-9.9</v>
      </c>
    </row>
    <row r="47" spans="2:7">
      <c r="B47" s="97">
        <v>-2</v>
      </c>
      <c r="C47" s="97">
        <f t="shared" si="0"/>
        <v>0.192</v>
      </c>
      <c r="D47" s="97">
        <f t="shared" si="1"/>
        <v>-9.6080000000000005</v>
      </c>
      <c r="E47" s="97">
        <f t="shared" si="2"/>
        <v>0.1</v>
      </c>
      <c r="F47" s="97">
        <f t="shared" si="3"/>
        <v>-9.8000000000000007</v>
      </c>
    </row>
    <row r="48" spans="2:7">
      <c r="B48" s="97">
        <v>-3</v>
      </c>
      <c r="C48" s="97">
        <f t="shared" si="0"/>
        <v>0.188</v>
      </c>
      <c r="D48" s="97">
        <f t="shared" si="1"/>
        <v>-9.4179999999999993</v>
      </c>
      <c r="E48" s="97">
        <f t="shared" si="2"/>
        <v>0.1</v>
      </c>
      <c r="F48" s="97">
        <f t="shared" si="3"/>
        <v>-9.6999999999999993</v>
      </c>
    </row>
    <row r="49" spans="2:6">
      <c r="B49" s="97">
        <v>-4</v>
      </c>
      <c r="C49" s="97">
        <f t="shared" si="0"/>
        <v>0.184</v>
      </c>
      <c r="D49" s="97">
        <f t="shared" si="1"/>
        <v>-9.2319999999999993</v>
      </c>
      <c r="E49" s="97">
        <f t="shared" si="2"/>
        <v>0.1</v>
      </c>
      <c r="F49" s="97">
        <f t="shared" si="3"/>
        <v>-9.6</v>
      </c>
    </row>
    <row r="50" spans="2:6">
      <c r="B50" s="97">
        <v>-5</v>
      </c>
      <c r="C50" s="97">
        <f t="shared" si="0"/>
        <v>0.18</v>
      </c>
      <c r="D50" s="97">
        <f t="shared" si="1"/>
        <v>-9.0500000000000007</v>
      </c>
      <c r="E50" s="97">
        <f t="shared" si="2"/>
        <v>0.1</v>
      </c>
      <c r="F50" s="97">
        <f t="shared" si="3"/>
        <v>-9.5</v>
      </c>
    </row>
    <row r="51" spans="2:6">
      <c r="B51" s="97">
        <v>-6</v>
      </c>
      <c r="C51" s="97">
        <f t="shared" si="0"/>
        <v>0.17599999999999999</v>
      </c>
      <c r="D51" s="97">
        <f t="shared" si="1"/>
        <v>-8.8719999999999999</v>
      </c>
      <c r="E51" s="97">
        <f t="shared" si="2"/>
        <v>0.1</v>
      </c>
      <c r="F51" s="97">
        <f t="shared" si="3"/>
        <v>-9.4</v>
      </c>
    </row>
    <row r="52" spans="2:6">
      <c r="B52" s="97">
        <v>-7</v>
      </c>
      <c r="C52" s="97">
        <f t="shared" si="0"/>
        <v>0.17200000000000001</v>
      </c>
      <c r="D52" s="97">
        <f t="shared" si="1"/>
        <v>-8.6980000000000004</v>
      </c>
      <c r="E52" s="97">
        <f t="shared" si="2"/>
        <v>0.1</v>
      </c>
      <c r="F52" s="97">
        <f t="shared" si="3"/>
        <v>-9.3000000000000007</v>
      </c>
    </row>
    <row r="53" spans="2:6">
      <c r="B53" s="97">
        <v>-8</v>
      </c>
      <c r="C53" s="97">
        <f t="shared" si="0"/>
        <v>0.16800000000000001</v>
      </c>
      <c r="D53" s="97">
        <f t="shared" si="1"/>
        <v>-8.5280000000000005</v>
      </c>
      <c r="E53" s="97">
        <f t="shared" si="2"/>
        <v>0.1</v>
      </c>
      <c r="F53" s="97">
        <f t="shared" si="3"/>
        <v>-9.1999999999999993</v>
      </c>
    </row>
    <row r="54" spans="2:6">
      <c r="B54" s="97">
        <v>-9</v>
      </c>
      <c r="C54" s="97">
        <f t="shared" si="0"/>
        <v>0.16400000000000001</v>
      </c>
      <c r="D54" s="97">
        <f t="shared" si="1"/>
        <v>-8.3620000000000001</v>
      </c>
      <c r="E54" s="97">
        <f t="shared" si="2"/>
        <v>0.1</v>
      </c>
      <c r="F54" s="97">
        <f t="shared" si="3"/>
        <v>-9.1</v>
      </c>
    </row>
    <row r="55" spans="2:6">
      <c r="B55" s="97">
        <v>-10</v>
      </c>
      <c r="C55" s="97">
        <f t="shared" si="0"/>
        <v>0.16</v>
      </c>
      <c r="D55" s="97">
        <f t="shared" si="1"/>
        <v>-8.1999999999999993</v>
      </c>
      <c r="E55" s="97">
        <f t="shared" si="2"/>
        <v>0.1</v>
      </c>
      <c r="F55" s="97">
        <f t="shared" si="3"/>
        <v>-9</v>
      </c>
    </row>
    <row r="56" spans="2:6">
      <c r="B56" s="97">
        <v>-11</v>
      </c>
      <c r="C56" s="97">
        <f t="shared" si="0"/>
        <v>0.156</v>
      </c>
      <c r="D56" s="97">
        <f t="shared" si="1"/>
        <v>-8.0419999999999998</v>
      </c>
      <c r="E56" s="97">
        <f t="shared" si="2"/>
        <v>0.1</v>
      </c>
      <c r="F56" s="97">
        <f t="shared" si="3"/>
        <v>-8.9</v>
      </c>
    </row>
    <row r="57" spans="2:6">
      <c r="B57" s="97">
        <v>-12</v>
      </c>
      <c r="C57" s="97">
        <f t="shared" si="0"/>
        <v>0.152</v>
      </c>
      <c r="D57" s="97">
        <f t="shared" si="1"/>
        <v>-7.8879999999999999</v>
      </c>
      <c r="E57" s="97">
        <f t="shared" si="2"/>
        <v>0.1</v>
      </c>
      <c r="F57" s="97">
        <f t="shared" si="3"/>
        <v>-8.8000000000000007</v>
      </c>
    </row>
    <row r="58" spans="2:6">
      <c r="B58" s="97">
        <v>-13</v>
      </c>
      <c r="C58" s="97">
        <f t="shared" si="0"/>
        <v>0.14799999999999999</v>
      </c>
      <c r="D58" s="97">
        <f t="shared" si="1"/>
        <v>-7.7379999999999995</v>
      </c>
      <c r="E58" s="97">
        <f t="shared" si="2"/>
        <v>0.1</v>
      </c>
      <c r="F58" s="97">
        <f t="shared" si="3"/>
        <v>-8.6999999999999993</v>
      </c>
    </row>
    <row r="59" spans="2:6">
      <c r="B59" s="97">
        <v>-14</v>
      </c>
      <c r="C59" s="97">
        <f t="shared" si="0"/>
        <v>0.14400000000000002</v>
      </c>
      <c r="D59" s="97">
        <f t="shared" si="1"/>
        <v>-7.5920000000000005</v>
      </c>
      <c r="E59" s="97">
        <f t="shared" si="2"/>
        <v>0.1</v>
      </c>
      <c r="F59" s="97">
        <f t="shared" si="3"/>
        <v>-8.6</v>
      </c>
    </row>
    <row r="60" spans="2:6">
      <c r="B60" s="97">
        <v>-15</v>
      </c>
      <c r="C60" s="97">
        <f t="shared" si="0"/>
        <v>0.14000000000000001</v>
      </c>
      <c r="D60" s="97">
        <f t="shared" si="1"/>
        <v>-7.4499999999999993</v>
      </c>
      <c r="E60" s="97">
        <f t="shared" si="2"/>
        <v>0.1</v>
      </c>
      <c r="F60" s="97">
        <f t="shared" si="3"/>
        <v>-8.5</v>
      </c>
    </row>
    <row r="61" spans="2:6">
      <c r="B61" s="97">
        <v>-16</v>
      </c>
      <c r="C61" s="97">
        <f t="shared" si="0"/>
        <v>0.13600000000000001</v>
      </c>
      <c r="D61" s="97">
        <f t="shared" si="1"/>
        <v>-7.3119999999999994</v>
      </c>
      <c r="E61" s="97">
        <f t="shared" si="2"/>
        <v>0.1</v>
      </c>
      <c r="F61" s="97">
        <f t="shared" si="3"/>
        <v>-8.4</v>
      </c>
    </row>
    <row r="62" spans="2:6">
      <c r="B62" s="97">
        <v>-17</v>
      </c>
      <c r="C62" s="97">
        <f t="shared" si="0"/>
        <v>0.13200000000000001</v>
      </c>
      <c r="D62" s="97">
        <f t="shared" si="1"/>
        <v>-7.1779999999999999</v>
      </c>
      <c r="E62" s="97">
        <f t="shared" si="2"/>
        <v>0.1</v>
      </c>
      <c r="F62" s="97">
        <f t="shared" si="3"/>
        <v>-8.3000000000000007</v>
      </c>
    </row>
    <row r="63" spans="2:6">
      <c r="B63" s="97">
        <v>-18</v>
      </c>
      <c r="C63" s="97">
        <f t="shared" si="0"/>
        <v>0.128</v>
      </c>
      <c r="D63" s="97">
        <f t="shared" si="1"/>
        <v>-7.048</v>
      </c>
      <c r="E63" s="97">
        <f t="shared" si="2"/>
        <v>0.1</v>
      </c>
      <c r="F63" s="97">
        <f t="shared" si="3"/>
        <v>-8.1999999999999993</v>
      </c>
    </row>
    <row r="64" spans="2:6">
      <c r="B64" s="97">
        <v>-19</v>
      </c>
      <c r="C64" s="97">
        <f t="shared" si="0"/>
        <v>0.124</v>
      </c>
      <c r="D64" s="97">
        <f t="shared" si="1"/>
        <v>-6.9220000000000006</v>
      </c>
      <c r="E64" s="97">
        <f t="shared" si="2"/>
        <v>0.1</v>
      </c>
      <c r="F64" s="97">
        <f t="shared" si="3"/>
        <v>-8.1</v>
      </c>
    </row>
    <row r="65" spans="2:6">
      <c r="B65" s="97">
        <v>-20</v>
      </c>
      <c r="C65" s="97">
        <f t="shared" si="0"/>
        <v>0.12</v>
      </c>
      <c r="D65" s="97">
        <f t="shared" si="1"/>
        <v>-6.8</v>
      </c>
      <c r="E65" s="97">
        <f t="shared" si="2"/>
        <v>0.1</v>
      </c>
      <c r="F65" s="97">
        <f t="shared" si="3"/>
        <v>-8</v>
      </c>
    </row>
    <row r="66" spans="2:6">
      <c r="B66" s="97">
        <v>-21</v>
      </c>
      <c r="C66" s="97">
        <f t="shared" si="0"/>
        <v>0.11600000000000001</v>
      </c>
      <c r="D66" s="97">
        <f t="shared" si="1"/>
        <v>-6.6820000000000004</v>
      </c>
      <c r="E66" s="97">
        <f t="shared" si="2"/>
        <v>0.1</v>
      </c>
      <c r="F66" s="97">
        <f t="shared" si="3"/>
        <v>-7.9</v>
      </c>
    </row>
    <row r="67" spans="2:6">
      <c r="B67" s="97">
        <v>-22</v>
      </c>
      <c r="C67" s="97">
        <f t="shared" si="0"/>
        <v>0.112</v>
      </c>
      <c r="D67" s="97">
        <f t="shared" si="1"/>
        <v>-6.5679999999999996</v>
      </c>
      <c r="E67" s="97">
        <f t="shared" si="2"/>
        <v>0.1</v>
      </c>
      <c r="F67" s="97">
        <f t="shared" si="3"/>
        <v>-7.8</v>
      </c>
    </row>
    <row r="68" spans="2:6">
      <c r="B68" s="97">
        <v>-23</v>
      </c>
      <c r="C68" s="97">
        <f t="shared" si="0"/>
        <v>0.108</v>
      </c>
      <c r="D68" s="97">
        <f t="shared" si="1"/>
        <v>-6.4580000000000002</v>
      </c>
      <c r="E68" s="97">
        <f t="shared" si="2"/>
        <v>0.1</v>
      </c>
      <c r="F68" s="97">
        <f t="shared" si="3"/>
        <v>-7.6999999999999993</v>
      </c>
    </row>
    <row r="69" spans="2:6">
      <c r="B69" s="97">
        <v>-24</v>
      </c>
      <c r="C69" s="97">
        <f t="shared" si="0"/>
        <v>0.10400000000000001</v>
      </c>
      <c r="D69" s="97">
        <f t="shared" si="1"/>
        <v>-6.3520000000000003</v>
      </c>
      <c r="E69" s="97">
        <f t="shared" si="2"/>
        <v>0.1</v>
      </c>
      <c r="F69" s="97">
        <f t="shared" si="3"/>
        <v>-7.6</v>
      </c>
    </row>
    <row r="70" spans="2:6">
      <c r="B70" s="97">
        <v>-25</v>
      </c>
      <c r="C70" s="97">
        <f t="shared" si="0"/>
        <v>0.1</v>
      </c>
      <c r="D70" s="97">
        <f t="shared" si="1"/>
        <v>-6.25</v>
      </c>
      <c r="E70" s="97">
        <f t="shared" si="2"/>
        <v>0.1</v>
      </c>
      <c r="F70" s="97">
        <f t="shared" si="3"/>
        <v>-7.5</v>
      </c>
    </row>
    <row r="71" spans="2:6">
      <c r="B71" s="97">
        <v>-26</v>
      </c>
      <c r="C71" s="97">
        <f t="shared" si="0"/>
        <v>9.6000000000000002E-2</v>
      </c>
      <c r="D71" s="97">
        <f t="shared" si="1"/>
        <v>-6.1520000000000001</v>
      </c>
      <c r="E71" s="97">
        <f t="shared" si="2"/>
        <v>0.1</v>
      </c>
      <c r="F71" s="97">
        <f t="shared" si="3"/>
        <v>-7.4</v>
      </c>
    </row>
    <row r="72" spans="2:6">
      <c r="B72" s="97">
        <v>-27</v>
      </c>
      <c r="C72" s="97">
        <f t="shared" si="0"/>
        <v>9.1999999999999998E-2</v>
      </c>
      <c r="D72" s="97">
        <f t="shared" si="1"/>
        <v>-6.0579999999999998</v>
      </c>
      <c r="E72" s="97">
        <f t="shared" si="2"/>
        <v>0.1</v>
      </c>
      <c r="F72" s="97">
        <f t="shared" si="3"/>
        <v>-7.3</v>
      </c>
    </row>
    <row r="73" spans="2:6">
      <c r="B73" s="97">
        <v>-28</v>
      </c>
      <c r="C73" s="97">
        <f t="shared" si="0"/>
        <v>8.7999999999999995E-2</v>
      </c>
      <c r="D73" s="97">
        <f t="shared" si="1"/>
        <v>-5.968</v>
      </c>
      <c r="E73" s="97">
        <f t="shared" si="2"/>
        <v>0.1</v>
      </c>
      <c r="F73" s="97">
        <f t="shared" si="3"/>
        <v>-7.1999999999999993</v>
      </c>
    </row>
    <row r="74" spans="2:6">
      <c r="B74" s="97">
        <v>-29</v>
      </c>
      <c r="C74" s="97">
        <f t="shared" si="0"/>
        <v>8.4000000000000005E-2</v>
      </c>
      <c r="D74" s="97">
        <f t="shared" si="1"/>
        <v>-5.8819999999999997</v>
      </c>
      <c r="E74" s="97">
        <f t="shared" si="2"/>
        <v>0.1</v>
      </c>
      <c r="F74" s="97">
        <f t="shared" si="3"/>
        <v>-7.1</v>
      </c>
    </row>
    <row r="75" spans="2:6">
      <c r="B75" s="97">
        <v>-30</v>
      </c>
      <c r="C75" s="97">
        <f t="shared" si="0"/>
        <v>0.08</v>
      </c>
      <c r="D75" s="97">
        <f t="shared" si="1"/>
        <v>-5.8</v>
      </c>
      <c r="E75" s="97">
        <f t="shared" si="2"/>
        <v>0.1</v>
      </c>
      <c r="F75" s="97">
        <f t="shared" si="3"/>
        <v>-7</v>
      </c>
    </row>
    <row r="76" spans="2:6">
      <c r="B76" s="97">
        <v>-31</v>
      </c>
      <c r="C76" s="97">
        <f t="shared" si="0"/>
        <v>7.5999999999999998E-2</v>
      </c>
      <c r="D76" s="97">
        <f t="shared" si="1"/>
        <v>-5.7219999999999995</v>
      </c>
      <c r="E76" s="97">
        <f t="shared" si="2"/>
        <v>0.1</v>
      </c>
      <c r="F76" s="97">
        <f t="shared" si="3"/>
        <v>-6.9</v>
      </c>
    </row>
    <row r="77" spans="2:6">
      <c r="B77" s="97">
        <v>-32</v>
      </c>
      <c r="C77" s="97">
        <f t="shared" si="0"/>
        <v>7.2000000000000008E-2</v>
      </c>
      <c r="D77" s="97">
        <f t="shared" si="1"/>
        <v>-5.6479999999999997</v>
      </c>
      <c r="E77" s="97">
        <f t="shared" si="2"/>
        <v>0.1</v>
      </c>
      <c r="F77" s="97">
        <f t="shared" si="3"/>
        <v>-6.8</v>
      </c>
    </row>
    <row r="78" spans="2:6">
      <c r="B78" s="97">
        <v>-33</v>
      </c>
      <c r="C78" s="97">
        <f t="shared" si="0"/>
        <v>6.8000000000000005E-2</v>
      </c>
      <c r="D78" s="97">
        <f t="shared" si="1"/>
        <v>-5.5780000000000003</v>
      </c>
      <c r="E78" s="97">
        <f t="shared" si="2"/>
        <v>0.1</v>
      </c>
      <c r="F78" s="97">
        <f t="shared" si="3"/>
        <v>-6.6999999999999993</v>
      </c>
    </row>
    <row r="79" spans="2:6">
      <c r="B79" s="97">
        <v>-34</v>
      </c>
      <c r="C79" s="97">
        <f t="shared" si="0"/>
        <v>6.4000000000000001E-2</v>
      </c>
      <c r="D79" s="97">
        <f t="shared" si="1"/>
        <v>-5.5119999999999996</v>
      </c>
      <c r="E79" s="97">
        <f t="shared" si="2"/>
        <v>0.1</v>
      </c>
      <c r="F79" s="97">
        <f t="shared" si="3"/>
        <v>-6.6</v>
      </c>
    </row>
    <row r="80" spans="2:6">
      <c r="B80" s="97">
        <v>-35</v>
      </c>
      <c r="C80" s="97">
        <f t="shared" si="0"/>
        <v>0.06</v>
      </c>
      <c r="D80" s="97">
        <f t="shared" si="1"/>
        <v>-5.45</v>
      </c>
      <c r="E80" s="97">
        <f t="shared" si="2"/>
        <v>0.1</v>
      </c>
      <c r="F80" s="97">
        <f t="shared" si="3"/>
        <v>-6.5</v>
      </c>
    </row>
    <row r="81" spans="2:6">
      <c r="B81" s="97">
        <v>-36</v>
      </c>
      <c r="C81" s="97">
        <f t="shared" si="0"/>
        <v>5.6000000000000001E-2</v>
      </c>
      <c r="D81" s="97">
        <f t="shared" si="1"/>
        <v>-5.3919999999999995</v>
      </c>
      <c r="E81" s="97">
        <f t="shared" si="2"/>
        <v>0.1</v>
      </c>
      <c r="F81" s="97">
        <f t="shared" si="3"/>
        <v>-6.4</v>
      </c>
    </row>
    <row r="82" spans="2:6">
      <c r="B82" s="97">
        <v>-37</v>
      </c>
      <c r="C82" s="97">
        <f t="shared" si="0"/>
        <v>5.2000000000000005E-2</v>
      </c>
      <c r="D82" s="97">
        <f t="shared" si="1"/>
        <v>-5.3380000000000001</v>
      </c>
      <c r="E82" s="97">
        <f t="shared" si="2"/>
        <v>0.1</v>
      </c>
      <c r="F82" s="97">
        <f t="shared" si="3"/>
        <v>-6.3</v>
      </c>
    </row>
    <row r="83" spans="2:6">
      <c r="B83" s="97">
        <v>-38</v>
      </c>
      <c r="C83" s="97">
        <f t="shared" si="0"/>
        <v>4.8000000000000001E-2</v>
      </c>
      <c r="D83" s="97">
        <f t="shared" si="1"/>
        <v>-5.2880000000000003</v>
      </c>
      <c r="E83" s="97">
        <f t="shared" si="2"/>
        <v>0.1</v>
      </c>
      <c r="F83" s="97">
        <f t="shared" si="3"/>
        <v>-6.1999999999999993</v>
      </c>
    </row>
    <row r="84" spans="2:6">
      <c r="B84" s="97">
        <v>-39</v>
      </c>
      <c r="C84" s="97">
        <f t="shared" si="0"/>
        <v>4.3999999999999997E-2</v>
      </c>
      <c r="D84" s="97">
        <f t="shared" si="1"/>
        <v>-5.242</v>
      </c>
      <c r="E84" s="97">
        <f t="shared" si="2"/>
        <v>0.1</v>
      </c>
      <c r="F84" s="97">
        <f t="shared" si="3"/>
        <v>-6.1</v>
      </c>
    </row>
    <row r="85" spans="2:6">
      <c r="B85" s="97">
        <v>-40</v>
      </c>
      <c r="C85" s="97">
        <f t="shared" si="0"/>
        <v>0.04</v>
      </c>
      <c r="D85" s="97">
        <f t="shared" si="1"/>
        <v>-5.2</v>
      </c>
      <c r="E85" s="97">
        <f t="shared" si="2"/>
        <v>0.1</v>
      </c>
      <c r="F85" s="97">
        <f t="shared" si="3"/>
        <v>-6</v>
      </c>
    </row>
    <row r="86" spans="2:6">
      <c r="B86" s="97">
        <v>-41</v>
      </c>
      <c r="C86" s="97">
        <f t="shared" si="0"/>
        <v>3.6000000000000004E-2</v>
      </c>
      <c r="D86" s="97">
        <f t="shared" si="1"/>
        <v>-5.1619999999999999</v>
      </c>
      <c r="E86" s="97">
        <f t="shared" si="2"/>
        <v>0.1</v>
      </c>
      <c r="F86" s="97">
        <f t="shared" si="3"/>
        <v>-5.8999999999999995</v>
      </c>
    </row>
    <row r="87" spans="2:6">
      <c r="B87" s="97">
        <v>-42</v>
      </c>
      <c r="C87" s="97">
        <f t="shared" si="0"/>
        <v>3.2000000000000001E-2</v>
      </c>
      <c r="D87" s="97">
        <f t="shared" si="1"/>
        <v>-5.1280000000000001</v>
      </c>
      <c r="E87" s="97">
        <f t="shared" si="2"/>
        <v>0.1</v>
      </c>
      <c r="F87" s="97">
        <f t="shared" si="3"/>
        <v>-5.8</v>
      </c>
    </row>
    <row r="88" spans="2:6">
      <c r="B88" s="97">
        <v>-43</v>
      </c>
      <c r="C88" s="97">
        <f t="shared" si="0"/>
        <v>2.8000000000000001E-2</v>
      </c>
      <c r="D88" s="97">
        <f t="shared" si="1"/>
        <v>-5.0979999999999999</v>
      </c>
      <c r="E88" s="97">
        <f t="shared" si="2"/>
        <v>0.1</v>
      </c>
      <c r="F88" s="97">
        <f t="shared" si="3"/>
        <v>-5.7</v>
      </c>
    </row>
    <row r="89" spans="2:6">
      <c r="B89" s="97">
        <v>-44</v>
      </c>
      <c r="C89" s="97">
        <f t="shared" si="0"/>
        <v>2.4E-2</v>
      </c>
      <c r="D89" s="97">
        <f t="shared" si="1"/>
        <v>-5.0720000000000001</v>
      </c>
      <c r="E89" s="97">
        <f t="shared" si="2"/>
        <v>0.1</v>
      </c>
      <c r="F89" s="97">
        <f t="shared" si="3"/>
        <v>-5.6</v>
      </c>
    </row>
    <row r="90" spans="2:6">
      <c r="B90" s="97">
        <v>-45</v>
      </c>
      <c r="C90" s="97">
        <f t="shared" si="0"/>
        <v>0.02</v>
      </c>
      <c r="D90" s="97">
        <f t="shared" si="1"/>
        <v>-5.05</v>
      </c>
      <c r="E90" s="97">
        <f t="shared" si="2"/>
        <v>0.1</v>
      </c>
      <c r="F90" s="97">
        <f t="shared" si="3"/>
        <v>-5.5</v>
      </c>
    </row>
    <row r="91" spans="2:6">
      <c r="B91" s="97">
        <v>-46</v>
      </c>
      <c r="C91" s="97">
        <f t="shared" si="0"/>
        <v>1.6E-2</v>
      </c>
      <c r="D91" s="97">
        <f t="shared" si="1"/>
        <v>-5.032</v>
      </c>
      <c r="E91" s="97">
        <f t="shared" si="2"/>
        <v>0.1</v>
      </c>
      <c r="F91" s="97">
        <f t="shared" si="3"/>
        <v>-5.3999999999999995</v>
      </c>
    </row>
    <row r="92" spans="2:6">
      <c r="B92" s="97">
        <v>-47</v>
      </c>
      <c r="C92" s="97">
        <f t="shared" si="0"/>
        <v>1.2E-2</v>
      </c>
      <c r="D92" s="97">
        <f t="shared" si="1"/>
        <v>-5.0179999999999998</v>
      </c>
      <c r="E92" s="97">
        <f t="shared" si="2"/>
        <v>0.1</v>
      </c>
      <c r="F92" s="97">
        <f t="shared" si="3"/>
        <v>-5.3</v>
      </c>
    </row>
    <row r="93" spans="2:6">
      <c r="B93" s="97">
        <v>-48</v>
      </c>
      <c r="C93" s="97">
        <f t="shared" si="0"/>
        <v>8.0000000000000002E-3</v>
      </c>
      <c r="D93" s="97">
        <f t="shared" si="1"/>
        <v>-5.008</v>
      </c>
      <c r="E93" s="97">
        <f t="shared" si="2"/>
        <v>0.1</v>
      </c>
      <c r="F93" s="97">
        <f t="shared" si="3"/>
        <v>-5.1999999999999993</v>
      </c>
    </row>
    <row r="94" spans="2:6">
      <c r="B94" s="97">
        <v>-49</v>
      </c>
      <c r="C94" s="97">
        <f t="shared" si="0"/>
        <v>4.0000000000000001E-3</v>
      </c>
      <c r="D94" s="97">
        <f t="shared" si="1"/>
        <v>-5.0019999999999998</v>
      </c>
      <c r="E94" s="97">
        <f t="shared" si="2"/>
        <v>0.1</v>
      </c>
      <c r="F94" s="97">
        <f t="shared" si="3"/>
        <v>-5.0999999999999996</v>
      </c>
    </row>
    <row r="95" spans="2:6">
      <c r="B95" s="97">
        <v>-50</v>
      </c>
      <c r="C95" s="97">
        <f t="shared" si="0"/>
        <v>0</v>
      </c>
      <c r="D95" s="97">
        <f t="shared" si="1"/>
        <v>-5</v>
      </c>
      <c r="E95" s="97">
        <f t="shared" si="2"/>
        <v>0.1</v>
      </c>
      <c r="F95" s="97">
        <f t="shared" si="3"/>
        <v>-5</v>
      </c>
    </row>
  </sheetData>
  <mergeCells count="1">
    <mergeCell ref="E42:F42"/>
  </mergeCells>
  <phoneticPr fontId="1"/>
  <pageMargins left="0.7" right="0.7" top="0.75" bottom="0.75" header="0.3" footer="0.3"/>
  <pageSetup paperSize="9" orientation="portrait" r:id="rId1"/>
  <drawing r:id="rId2"/>
  <legacyDrawing r:id="rId3"/>
  <oleObjects>
    <oleObject progId="Equation.3" shapeId="17410" r:id="rId4"/>
    <oleObject progId="Equation.3" shapeId="17411" r:id="rId5"/>
    <oleObject progId="Equation.3" shapeId="17413" r:id="rId6"/>
    <oleObject progId="Equation.3" shapeId="17414" r:id="rId7"/>
    <oleObject progId="Equation.3" shapeId="17419" r:id="rId8"/>
  </oleObjects>
  <controls>
    <control shapeId="17412" r:id="rId9" name="ScrollBar1"/>
  </controls>
</worksheet>
</file>

<file path=xl/worksheets/sheet9.xml><?xml version="1.0" encoding="utf-8"?>
<worksheet xmlns="http://schemas.openxmlformats.org/spreadsheetml/2006/main" xmlns:r="http://schemas.openxmlformats.org/officeDocument/2006/relationships">
  <sheetPr codeName="Sheet5"/>
  <dimension ref="A1:W90"/>
  <sheetViews>
    <sheetView zoomScale="90" zoomScaleNormal="90" workbookViewId="0"/>
  </sheetViews>
  <sheetFormatPr defaultRowHeight="15"/>
  <cols>
    <col min="1" max="16384" width="9" style="97"/>
  </cols>
  <sheetData>
    <row r="1" spans="1:23" customFormat="1" ht="18.75">
      <c r="A1" s="10" t="s">
        <v>259</v>
      </c>
      <c r="L1" t="s">
        <v>252</v>
      </c>
      <c r="T1" s="110" t="s">
        <v>258</v>
      </c>
      <c r="U1" s="119" t="s">
        <v>183</v>
      </c>
      <c r="V1" s="119" t="s">
        <v>183</v>
      </c>
      <c r="W1" s="2" t="s">
        <v>261</v>
      </c>
    </row>
    <row r="2" spans="1:23" customFormat="1">
      <c r="L2" s="97"/>
      <c r="N2" s="97"/>
      <c r="T2" s="97">
        <v>0</v>
      </c>
      <c r="U2" s="97">
        <f t="shared" ref="U2:U33" si="0">-(1/$C$33)*LN(T2/50*$C$32*$C$33+1)+$C$31</f>
        <v>0.4</v>
      </c>
      <c r="V2">
        <v>0.01</v>
      </c>
      <c r="W2">
        <f t="shared" ref="W2:W33" si="1">$C$32*EXP($C$33*(V2-$C$31))</f>
        <v>4.097349789797864E-2</v>
      </c>
    </row>
    <row r="3" spans="1:23" customFormat="1">
      <c r="N3" s="97"/>
      <c r="T3" s="97">
        <v>1</v>
      </c>
      <c r="U3" s="97">
        <f t="shared" si="0"/>
        <v>0.21432139666478461</v>
      </c>
      <c r="V3">
        <f t="shared" ref="V3:V34" si="2">IF(V2+0.01&lt;=$C$31,V2+0.01,V2)</f>
        <v>0.02</v>
      </c>
      <c r="W3">
        <f t="shared" si="1"/>
        <v>5.0045143344061085E-2</v>
      </c>
    </row>
    <row r="4" spans="1:23" customFormat="1">
      <c r="N4" s="97"/>
      <c r="T4" s="97">
        <v>2</v>
      </c>
      <c r="U4" s="97">
        <f t="shared" si="0"/>
        <v>0.18027754226637804</v>
      </c>
      <c r="V4">
        <f t="shared" si="2"/>
        <v>0.03</v>
      </c>
      <c r="W4">
        <f t="shared" si="1"/>
        <v>6.1125276112957233E-2</v>
      </c>
    </row>
    <row r="5" spans="1:23" customFormat="1">
      <c r="N5" s="97"/>
      <c r="T5" s="97">
        <v>3</v>
      </c>
      <c r="U5" s="97">
        <f t="shared" si="0"/>
        <v>0.16021047272016295</v>
      </c>
      <c r="V5">
        <f t="shared" si="2"/>
        <v>0.04</v>
      </c>
      <c r="W5">
        <f t="shared" si="1"/>
        <v>7.4658580837667854E-2</v>
      </c>
    </row>
    <row r="6" spans="1:23" customFormat="1">
      <c r="N6" s="97"/>
      <c r="T6" s="97">
        <v>4</v>
      </c>
      <c r="U6" s="97">
        <f t="shared" si="0"/>
        <v>0.14592978175077687</v>
      </c>
      <c r="V6">
        <f t="shared" si="2"/>
        <v>0.05</v>
      </c>
      <c r="W6">
        <f t="shared" si="1"/>
        <v>9.1188196555451531E-2</v>
      </c>
    </row>
    <row r="7" spans="1:23" customFormat="1">
      <c r="N7" s="97"/>
      <c r="T7" s="97">
        <v>5</v>
      </c>
      <c r="U7" s="97">
        <f t="shared" si="0"/>
        <v>0.13483475459704625</v>
      </c>
      <c r="V7">
        <f t="shared" si="2"/>
        <v>6.0000000000000005E-2</v>
      </c>
      <c r="W7">
        <f t="shared" si="1"/>
        <v>0.11137751478448024</v>
      </c>
    </row>
    <row r="8" spans="1:23" customFormat="1">
      <c r="N8" s="97"/>
      <c r="T8" s="97">
        <v>6</v>
      </c>
      <c r="U8" s="97">
        <f t="shared" si="0"/>
        <v>0.12576015332546725</v>
      </c>
      <c r="V8">
        <f t="shared" si="2"/>
        <v>7.0000000000000007E-2</v>
      </c>
      <c r="W8">
        <f t="shared" si="1"/>
        <v>0.13603680375478927</v>
      </c>
    </row>
    <row r="9" spans="1:23">
      <c r="A9" s="113"/>
      <c r="T9" s="97">
        <v>7</v>
      </c>
      <c r="U9" s="97">
        <f t="shared" si="0"/>
        <v>0.11808226653331272</v>
      </c>
      <c r="V9">
        <f t="shared" si="2"/>
        <v>0.08</v>
      </c>
      <c r="W9">
        <f t="shared" si="1"/>
        <v>0.16615572731739339</v>
      </c>
    </row>
    <row r="10" spans="1:23">
      <c r="T10" s="97">
        <v>8</v>
      </c>
      <c r="U10" s="97">
        <f t="shared" si="0"/>
        <v>0.11142794384349924</v>
      </c>
      <c r="V10">
        <f t="shared" si="2"/>
        <v>0.09</v>
      </c>
      <c r="W10">
        <f t="shared" si="1"/>
        <v>0.20294306362957323</v>
      </c>
    </row>
    <row r="11" spans="1:23">
      <c r="T11" s="97">
        <v>9</v>
      </c>
      <c r="U11" s="97">
        <f t="shared" si="0"/>
        <v>0.10555610208335597</v>
      </c>
      <c r="V11">
        <f t="shared" si="2"/>
        <v>9.9999999999999992E-2</v>
      </c>
      <c r="W11">
        <f t="shared" si="1"/>
        <v>0.24787521766663564</v>
      </c>
    </row>
    <row r="12" spans="1:23">
      <c r="T12" s="97">
        <v>10</v>
      </c>
      <c r="U12" s="97">
        <f t="shared" si="0"/>
        <v>0.10030192863467152</v>
      </c>
      <c r="V12">
        <f t="shared" si="2"/>
        <v>0.10999999999999999</v>
      </c>
      <c r="W12">
        <f t="shared" si="1"/>
        <v>0.30275547453758128</v>
      </c>
    </row>
    <row r="13" spans="1:23">
      <c r="T13" s="97">
        <v>11</v>
      </c>
      <c r="U13" s="97">
        <f t="shared" si="0"/>
        <v>9.554775622765771E-2</v>
      </c>
      <c r="V13">
        <f t="shared" si="2"/>
        <v>0.11999999999999998</v>
      </c>
      <c r="W13">
        <f t="shared" si="1"/>
        <v>0.36978637164829292</v>
      </c>
    </row>
    <row r="14" spans="1:23" ht="13.5" customHeight="1">
      <c r="T14" s="97">
        <v>12</v>
      </c>
      <c r="U14" s="97">
        <f t="shared" si="0"/>
        <v>9.1206636494711946E-2</v>
      </c>
      <c r="V14">
        <f t="shared" si="2"/>
        <v>0.12999999999999998</v>
      </c>
      <c r="W14">
        <f t="shared" si="1"/>
        <v>0.45165809426126657</v>
      </c>
    </row>
    <row r="15" spans="1:23" ht="13.5" customHeight="1">
      <c r="T15" s="97">
        <v>13</v>
      </c>
      <c r="U15" s="97">
        <f t="shared" si="0"/>
        <v>8.7212497912331655E-2</v>
      </c>
      <c r="V15">
        <f t="shared" si="2"/>
        <v>0.13999999999999999</v>
      </c>
      <c r="W15">
        <f t="shared" si="1"/>
        <v>0.55165644207607711</v>
      </c>
    </row>
    <row r="16" spans="1:23" ht="13.5" customHeight="1">
      <c r="T16" s="97">
        <v>14</v>
      </c>
      <c r="U16" s="97">
        <f t="shared" si="0"/>
        <v>8.3513954723865136E-2</v>
      </c>
      <c r="V16">
        <f t="shared" si="2"/>
        <v>0.15</v>
      </c>
      <c r="W16">
        <f t="shared" si="1"/>
        <v>0.67379469990854668</v>
      </c>
    </row>
    <row r="17" spans="2:23" ht="13.5" customHeight="1">
      <c r="T17" s="97">
        <v>15</v>
      </c>
      <c r="U17" s="97">
        <f t="shared" si="0"/>
        <v>8.0070253273239633E-2</v>
      </c>
      <c r="V17">
        <f t="shared" si="2"/>
        <v>0.16</v>
      </c>
      <c r="W17">
        <f t="shared" si="1"/>
        <v>0.82297470490200231</v>
      </c>
    </row>
    <row r="18" spans="2:23" ht="13.5" customHeight="1">
      <c r="T18" s="97">
        <v>16</v>
      </c>
      <c r="U18" s="97">
        <f t="shared" si="0"/>
        <v>7.6848527153966506E-2</v>
      </c>
      <c r="V18">
        <f t="shared" si="2"/>
        <v>0.17</v>
      </c>
      <c r="W18">
        <f t="shared" si="1"/>
        <v>1.0051835744633575</v>
      </c>
    </row>
    <row r="19" spans="2:23" ht="13.5" customHeight="1">
      <c r="T19" s="97">
        <v>17</v>
      </c>
      <c r="U19" s="97">
        <f t="shared" si="0"/>
        <v>7.3821884692524375E-2</v>
      </c>
      <c r="V19">
        <f t="shared" si="2"/>
        <v>0.18000000000000002</v>
      </c>
      <c r="W19">
        <f t="shared" si="1"/>
        <v>1.2277339903068436</v>
      </c>
    </row>
    <row r="20" spans="2:23" ht="13.5" customHeight="1">
      <c r="T20" s="97">
        <v>18</v>
      </c>
      <c r="U20" s="97">
        <f t="shared" si="0"/>
        <v>7.0968043135752557E-2</v>
      </c>
      <c r="V20">
        <f t="shared" si="2"/>
        <v>0.19000000000000003</v>
      </c>
      <c r="W20">
        <f t="shared" si="1"/>
        <v>1.4995576820477703</v>
      </c>
    </row>
    <row r="21" spans="2:23" ht="13.5" customHeight="1">
      <c r="T21" s="97">
        <v>19</v>
      </c>
      <c r="U21" s="97">
        <f t="shared" si="0"/>
        <v>6.8268332106915686E-2</v>
      </c>
      <c r="V21">
        <f t="shared" si="2"/>
        <v>0.20000000000000004</v>
      </c>
      <c r="W21">
        <f t="shared" si="1"/>
        <v>1.8315638888734189</v>
      </c>
    </row>
    <row r="22" spans="2:23" ht="13.5" customHeight="1">
      <c r="T22" s="97">
        <v>20</v>
      </c>
      <c r="U22" s="97">
        <f t="shared" si="0"/>
        <v>6.5706952646581995E-2</v>
      </c>
      <c r="V22">
        <f t="shared" si="2"/>
        <v>0.21000000000000005</v>
      </c>
      <c r="W22">
        <f t="shared" si="1"/>
        <v>2.237077185616561</v>
      </c>
    </row>
    <row r="23" spans="2:23" ht="13.5" customHeight="1">
      <c r="T23" s="97">
        <v>21</v>
      </c>
      <c r="U23" s="97">
        <f t="shared" si="0"/>
        <v>6.3270417001352608E-2</v>
      </c>
      <c r="V23">
        <f t="shared" si="2"/>
        <v>0.22000000000000006</v>
      </c>
      <c r="W23">
        <f t="shared" si="1"/>
        <v>2.7323722447292584</v>
      </c>
    </row>
    <row r="24" spans="2:23" ht="13.5" customHeight="1">
      <c r="T24" s="97">
        <v>22</v>
      </c>
      <c r="U24" s="97">
        <f t="shared" si="0"/>
        <v>6.0947118703191028E-2</v>
      </c>
      <c r="V24">
        <f t="shared" si="2"/>
        <v>0.23000000000000007</v>
      </c>
      <c r="W24">
        <f t="shared" si="1"/>
        <v>3.3373269960326115</v>
      </c>
    </row>
    <row r="25" spans="2:23" ht="13.5" customHeight="1">
      <c r="T25" s="97">
        <v>23</v>
      </c>
      <c r="U25" s="97">
        <f t="shared" si="0"/>
        <v>5.8726998187234647E-2</v>
      </c>
      <c r="V25">
        <f t="shared" si="2"/>
        <v>0.24000000000000007</v>
      </c>
      <c r="W25">
        <f t="shared" si="1"/>
        <v>4.076220397836626</v>
      </c>
    </row>
    <row r="26" spans="2:23" ht="13.5" customHeight="1">
      <c r="B26" s="101" t="s">
        <v>260</v>
      </c>
      <c r="T26" s="97">
        <v>24</v>
      </c>
      <c r="U26" s="97">
        <f t="shared" si="0"/>
        <v>5.6601279551485362E-2</v>
      </c>
      <c r="V26">
        <f t="shared" si="2"/>
        <v>0.25000000000000006</v>
      </c>
      <c r="W26">
        <f t="shared" si="1"/>
        <v>4.9787068367863982</v>
      </c>
    </row>
    <row r="27" spans="2:23">
      <c r="T27" s="97">
        <v>25</v>
      </c>
      <c r="U27" s="97">
        <f t="shared" si="0"/>
        <v>5.4562261034239001E-2</v>
      </c>
      <c r="V27">
        <f t="shared" si="2"/>
        <v>0.26000000000000006</v>
      </c>
      <c r="W27">
        <f t="shared" si="1"/>
        <v>6.0810062625218029</v>
      </c>
    </row>
    <row r="28" spans="2:23">
      <c r="T28" s="97">
        <v>26</v>
      </c>
      <c r="U28" s="97">
        <f t="shared" si="0"/>
        <v>5.2603146569251524E-2</v>
      </c>
      <c r="V28">
        <f t="shared" si="2"/>
        <v>0.27000000000000007</v>
      </c>
      <c r="W28">
        <f t="shared" si="1"/>
        <v>7.4273578214333975</v>
      </c>
    </row>
    <row r="29" spans="2:23">
      <c r="T29" s="97">
        <v>27</v>
      </c>
      <c r="U29" s="97">
        <f t="shared" si="0"/>
        <v>5.0717909118039584E-2</v>
      </c>
      <c r="V29">
        <f t="shared" si="2"/>
        <v>0.28000000000000008</v>
      </c>
      <c r="W29">
        <f t="shared" si="1"/>
        <v>9.0717953289412634</v>
      </c>
    </row>
    <row r="30" spans="2:23">
      <c r="B30" s="114"/>
      <c r="C30" s="114"/>
      <c r="D30" s="114"/>
      <c r="T30" s="97">
        <v>28</v>
      </c>
      <c r="U30" s="97">
        <f t="shared" si="0"/>
        <v>4.8901178846392002E-2</v>
      </c>
      <c r="V30">
        <f t="shared" si="2"/>
        <v>0.29000000000000009</v>
      </c>
      <c r="W30">
        <f t="shared" si="1"/>
        <v>11.080315836233407</v>
      </c>
    </row>
    <row r="31" spans="2:23" ht="16.5">
      <c r="B31" s="120" t="s">
        <v>255</v>
      </c>
      <c r="C31" s="123">
        <f>0.01*$E$31</f>
        <v>0.4</v>
      </c>
      <c r="D31" s="115"/>
      <c r="E31" s="97">
        <v>40</v>
      </c>
      <c r="T31" s="97">
        <v>29</v>
      </c>
      <c r="U31" s="97">
        <f t="shared" si="0"/>
        <v>4.7148150915105436E-2</v>
      </c>
      <c r="V31">
        <f t="shared" si="2"/>
        <v>0.3000000000000001</v>
      </c>
      <c r="W31">
        <f t="shared" si="1"/>
        <v>13.53352832366129</v>
      </c>
    </row>
    <row r="32" spans="2:23" ht="18">
      <c r="B32" s="121" t="s">
        <v>256</v>
      </c>
      <c r="C32" s="124">
        <f>$E$32</f>
        <v>100</v>
      </c>
      <c r="D32" s="116" t="s">
        <v>243</v>
      </c>
      <c r="E32" s="97">
        <v>100</v>
      </c>
      <c r="T32" s="97">
        <v>30</v>
      </c>
      <c r="U32" s="97">
        <f t="shared" si="0"/>
        <v>4.5454508896000834E-2</v>
      </c>
      <c r="V32">
        <f t="shared" si="2"/>
        <v>0.31000000000000011</v>
      </c>
      <c r="W32">
        <f t="shared" si="1"/>
        <v>16.529888822158682</v>
      </c>
    </row>
    <row r="33" spans="1:23">
      <c r="B33" s="122" t="s">
        <v>257</v>
      </c>
      <c r="C33" s="125">
        <f>$E$33</f>
        <v>20</v>
      </c>
      <c r="D33" s="117"/>
      <c r="E33" s="97">
        <v>20</v>
      </c>
      <c r="T33" s="97">
        <v>31</v>
      </c>
      <c r="U33" s="97">
        <f t="shared" si="0"/>
        <v>4.3816360739769633E-2</v>
      </c>
      <c r="V33">
        <f t="shared" si="2"/>
        <v>0.32000000000000012</v>
      </c>
      <c r="W33">
        <f t="shared" si="1"/>
        <v>20.18965179946558</v>
      </c>
    </row>
    <row r="34" spans="1:23">
      <c r="T34" s="97">
        <v>32</v>
      </c>
      <c r="U34" s="97">
        <f t="shared" ref="U34:U52" si="3">-(1/$C$33)*LN(T34/50*$C$32*$C$33+1)+$C$31</f>
        <v>4.2230184905163282E-2</v>
      </c>
      <c r="V34">
        <f t="shared" si="2"/>
        <v>0.33000000000000013</v>
      </c>
      <c r="W34">
        <f t="shared" ref="W34:W65" si="4">$C$32*EXP($C$33*(V34-$C$31))</f>
        <v>24.659696394160697</v>
      </c>
    </row>
    <row r="35" spans="1:23">
      <c r="T35" s="97">
        <v>33</v>
      </c>
      <c r="U35" s="97">
        <f t="shared" si="3"/>
        <v>4.0692784773883717E-2</v>
      </c>
      <c r="V35">
        <f t="shared" ref="V35:V66" si="5">IF(V34+0.01&lt;=$C$31,V34+0.01,V34)</f>
        <v>0.34000000000000014</v>
      </c>
      <c r="W35">
        <f t="shared" si="4"/>
        <v>30.11942119122028</v>
      </c>
    </row>
    <row r="36" spans="1:23" ht="18.75">
      <c r="A36" s="10" t="s">
        <v>34</v>
      </c>
      <c r="T36" s="97">
        <v>34</v>
      </c>
      <c r="U36" s="97">
        <f t="shared" si="3"/>
        <v>3.920124986742668E-2</v>
      </c>
      <c r="V36">
        <f t="shared" si="5"/>
        <v>0.35000000000000014</v>
      </c>
      <c r="W36">
        <f t="shared" si="4"/>
        <v>36.78794411714432</v>
      </c>
    </row>
    <row r="37" spans="1:23">
      <c r="T37" s="97">
        <v>35</v>
      </c>
      <c r="U37" s="97">
        <f t="shared" si="3"/>
        <v>3.775292268314967E-2</v>
      </c>
      <c r="V37">
        <f t="shared" si="5"/>
        <v>0.36000000000000015</v>
      </c>
      <c r="W37">
        <f t="shared" si="4"/>
        <v>44.932896411722275</v>
      </c>
    </row>
    <row r="38" spans="1:23">
      <c r="T38" s="97">
        <v>36</v>
      </c>
      <c r="U38" s="97">
        <f t="shared" si="3"/>
        <v>3.634537020002393E-2</v>
      </c>
      <c r="V38">
        <f t="shared" si="5"/>
        <v>0.37000000000000016</v>
      </c>
      <c r="W38">
        <f t="shared" si="4"/>
        <v>54.881163609402797</v>
      </c>
    </row>
    <row r="39" spans="1:23">
      <c r="T39" s="97">
        <v>37</v>
      </c>
      <c r="U39" s="97">
        <f t="shared" si="3"/>
        <v>3.4976359286610026E-2</v>
      </c>
      <c r="V39">
        <f t="shared" si="5"/>
        <v>0.38000000000000017</v>
      </c>
      <c r="W39">
        <f t="shared" si="4"/>
        <v>67.032004603564133</v>
      </c>
    </row>
    <row r="40" spans="1:23">
      <c r="T40" s="97">
        <v>38</v>
      </c>
      <c r="U40" s="97">
        <f t="shared" si="3"/>
        <v>3.3643835387035359E-2</v>
      </c>
      <c r="V40">
        <f t="shared" si="5"/>
        <v>0.39000000000000018</v>
      </c>
      <c r="W40">
        <f t="shared" si="4"/>
        <v>81.873075307798445</v>
      </c>
    </row>
    <row r="41" spans="1:23">
      <c r="T41" s="97">
        <v>39</v>
      </c>
      <c r="U41" s="97">
        <f t="shared" si="3"/>
        <v>3.2345903974228374E-2</v>
      </c>
      <c r="V41">
        <f t="shared" si="5"/>
        <v>0.40000000000000019</v>
      </c>
      <c r="W41">
        <f t="shared" si="4"/>
        <v>100.00000000000033</v>
      </c>
    </row>
    <row r="42" spans="1:23">
      <c r="T42" s="97">
        <v>40</v>
      </c>
      <c r="U42" s="97">
        <f t="shared" si="3"/>
        <v>3.1080814350164299E-2</v>
      </c>
      <c r="V42">
        <f t="shared" si="5"/>
        <v>0.40000000000000019</v>
      </c>
      <c r="W42">
        <f t="shared" si="4"/>
        <v>100.00000000000033</v>
      </c>
    </row>
    <row r="43" spans="1:23" ht="13.5" customHeight="1">
      <c r="D43" s="100"/>
      <c r="T43" s="97">
        <v>41</v>
      </c>
      <c r="U43" s="97">
        <f t="shared" si="3"/>
        <v>2.9846945445495432E-2</v>
      </c>
      <c r="V43">
        <f t="shared" si="5"/>
        <v>0.40000000000000019</v>
      </c>
      <c r="W43">
        <f t="shared" si="4"/>
        <v>100.00000000000033</v>
      </c>
    </row>
    <row r="44" spans="1:23">
      <c r="T44" s="97">
        <v>42</v>
      </c>
      <c r="U44" s="97">
        <f t="shared" si="3"/>
        <v>2.8642793329569205E-2</v>
      </c>
      <c r="V44">
        <f t="shared" si="5"/>
        <v>0.40000000000000019</v>
      </c>
      <c r="W44">
        <f t="shared" si="4"/>
        <v>100.00000000000033</v>
      </c>
    </row>
    <row r="45" spans="1:23">
      <c r="T45" s="97">
        <v>43</v>
      </c>
      <c r="U45" s="97">
        <f t="shared" si="3"/>
        <v>2.7466960189423018E-2</v>
      </c>
      <c r="V45">
        <f t="shared" si="5"/>
        <v>0.40000000000000019</v>
      </c>
      <c r="W45">
        <f t="shared" si="4"/>
        <v>100.00000000000033</v>
      </c>
    </row>
    <row r="46" spans="1:23">
      <c r="T46" s="97">
        <v>44</v>
      </c>
      <c r="U46" s="97">
        <f t="shared" si="3"/>
        <v>2.6318144575189717E-2</v>
      </c>
      <c r="V46">
        <f t="shared" si="5"/>
        <v>0.40000000000000019</v>
      </c>
      <c r="W46">
        <f t="shared" si="4"/>
        <v>100.00000000000033</v>
      </c>
    </row>
    <row r="47" spans="1:23">
      <c r="T47" s="97">
        <v>45</v>
      </c>
      <c r="U47" s="97">
        <f t="shared" si="3"/>
        <v>2.519513274120222E-2</v>
      </c>
      <c r="V47">
        <f t="shared" si="5"/>
        <v>0.40000000000000019</v>
      </c>
      <c r="W47">
        <f t="shared" si="4"/>
        <v>100.00000000000033</v>
      </c>
    </row>
    <row r="48" spans="1:23">
      <c r="T48" s="97">
        <v>46</v>
      </c>
      <c r="U48" s="97">
        <f t="shared" si="3"/>
        <v>2.4096790938346102E-2</v>
      </c>
      <c r="V48">
        <f t="shared" si="5"/>
        <v>0.40000000000000019</v>
      </c>
      <c r="W48">
        <f t="shared" si="4"/>
        <v>100.00000000000033</v>
      </c>
    </row>
    <row r="49" spans="1:23">
      <c r="T49" s="97">
        <v>47</v>
      </c>
      <c r="U49" s="97">
        <f t="shared" si="3"/>
        <v>2.3022058534948486E-2</v>
      </c>
      <c r="V49">
        <f t="shared" si="5"/>
        <v>0.40000000000000019</v>
      </c>
      <c r="W49">
        <f t="shared" si="4"/>
        <v>100.00000000000033</v>
      </c>
    </row>
    <row r="50" spans="1:23">
      <c r="T50" s="97">
        <v>48</v>
      </c>
      <c r="U50" s="97">
        <f t="shared" si="3"/>
        <v>2.196994186157214E-2</v>
      </c>
      <c r="V50">
        <f t="shared" si="5"/>
        <v>0.40000000000000019</v>
      </c>
      <c r="W50">
        <f t="shared" si="4"/>
        <v>100.00000000000033</v>
      </c>
    </row>
    <row r="51" spans="1:23">
      <c r="T51" s="97">
        <v>49</v>
      </c>
      <c r="U51" s="97">
        <f t="shared" si="3"/>
        <v>2.0939508690182684E-2</v>
      </c>
      <c r="V51">
        <f t="shared" si="5"/>
        <v>0.40000000000000019</v>
      </c>
      <c r="W51">
        <f t="shared" si="4"/>
        <v>100.00000000000033</v>
      </c>
    </row>
    <row r="52" spans="1:23">
      <c r="T52" s="97">
        <v>50</v>
      </c>
      <c r="U52" s="97">
        <f t="shared" si="3"/>
        <v>1.9929883270813353E-2</v>
      </c>
      <c r="V52">
        <f t="shared" si="5"/>
        <v>0.40000000000000019</v>
      </c>
      <c r="W52">
        <f t="shared" si="4"/>
        <v>100.00000000000033</v>
      </c>
    </row>
    <row r="53" spans="1:23">
      <c r="V53">
        <f t="shared" si="5"/>
        <v>0.40000000000000019</v>
      </c>
      <c r="W53">
        <f t="shared" si="4"/>
        <v>100.00000000000033</v>
      </c>
    </row>
    <row r="54" spans="1:23">
      <c r="V54">
        <f t="shared" si="5"/>
        <v>0.40000000000000019</v>
      </c>
      <c r="W54">
        <f t="shared" si="4"/>
        <v>100.00000000000033</v>
      </c>
    </row>
    <row r="55" spans="1:23">
      <c r="A55" s="97" t="s">
        <v>262</v>
      </c>
      <c r="V55">
        <f t="shared" si="5"/>
        <v>0.40000000000000019</v>
      </c>
      <c r="W55">
        <f t="shared" si="4"/>
        <v>100.00000000000033</v>
      </c>
    </row>
    <row r="56" spans="1:23">
      <c r="V56">
        <f t="shared" si="5"/>
        <v>0.40000000000000019</v>
      </c>
      <c r="W56">
        <f t="shared" si="4"/>
        <v>100.00000000000033</v>
      </c>
    </row>
    <row r="57" spans="1:23" ht="18.75">
      <c r="A57" s="10" t="s">
        <v>27</v>
      </c>
      <c r="V57">
        <f t="shared" si="5"/>
        <v>0.40000000000000019</v>
      </c>
      <c r="W57">
        <f t="shared" si="4"/>
        <v>100.00000000000033</v>
      </c>
    </row>
    <row r="58" spans="1:23">
      <c r="A58" s="97" t="s">
        <v>263</v>
      </c>
      <c r="C58" s="110">
        <f>100^100</f>
        <v>1.0000000000000005E+200</v>
      </c>
      <c r="D58" s="97" t="s">
        <v>266</v>
      </c>
      <c r="F58" s="126">
        <f>-(1/$C$33)*LN($C$58/50*$C$32*$C$33+1)+$C$31</f>
        <v>-22.810294902646156</v>
      </c>
      <c r="G58" s="118" t="s">
        <v>264</v>
      </c>
      <c r="V58">
        <f t="shared" si="5"/>
        <v>0.40000000000000019</v>
      </c>
      <c r="W58">
        <f t="shared" si="4"/>
        <v>100.00000000000033</v>
      </c>
    </row>
    <row r="59" spans="1:23">
      <c r="A59" s="97" t="s">
        <v>267</v>
      </c>
      <c r="V59">
        <f t="shared" si="5"/>
        <v>0.40000000000000019</v>
      </c>
      <c r="W59">
        <f t="shared" si="4"/>
        <v>100.00000000000033</v>
      </c>
    </row>
    <row r="60" spans="1:23">
      <c r="A60" s="97" t="s">
        <v>265</v>
      </c>
      <c r="V60">
        <f t="shared" si="5"/>
        <v>0.40000000000000019</v>
      </c>
      <c r="W60">
        <f t="shared" si="4"/>
        <v>100.00000000000033</v>
      </c>
    </row>
    <row r="61" spans="1:23">
      <c r="V61">
        <f t="shared" si="5"/>
        <v>0.40000000000000019</v>
      </c>
      <c r="W61">
        <f t="shared" si="4"/>
        <v>100.00000000000033</v>
      </c>
    </row>
    <row r="62" spans="1:23" ht="18.75">
      <c r="A62" s="10" t="s">
        <v>132</v>
      </c>
      <c r="V62">
        <f t="shared" si="5"/>
        <v>0.40000000000000019</v>
      </c>
      <c r="W62">
        <f t="shared" si="4"/>
        <v>100.00000000000033</v>
      </c>
    </row>
    <row r="63" spans="1:23">
      <c r="E63" s="114"/>
      <c r="F63" s="114"/>
      <c r="G63" s="114"/>
      <c r="V63">
        <f t="shared" si="5"/>
        <v>0.40000000000000019</v>
      </c>
      <c r="W63">
        <f t="shared" si="4"/>
        <v>100.00000000000033</v>
      </c>
    </row>
    <row r="64" spans="1:23" ht="16.5">
      <c r="E64" s="120" t="s">
        <v>255</v>
      </c>
      <c r="F64" s="123">
        <f>0.01*$E$31</f>
        <v>0.4</v>
      </c>
      <c r="G64" s="115"/>
      <c r="H64" s="97">
        <v>30</v>
      </c>
      <c r="V64">
        <f t="shared" si="5"/>
        <v>0.40000000000000019</v>
      </c>
      <c r="W64">
        <f t="shared" si="4"/>
        <v>100.00000000000033</v>
      </c>
    </row>
    <row r="65" spans="1:23" ht="18">
      <c r="E65" s="121" t="s">
        <v>256</v>
      </c>
      <c r="F65" s="124">
        <f>$E$32</f>
        <v>100</v>
      </c>
      <c r="G65" s="116" t="s">
        <v>243</v>
      </c>
      <c r="H65" s="97">
        <v>100</v>
      </c>
      <c r="V65">
        <f t="shared" si="5"/>
        <v>0.40000000000000019</v>
      </c>
      <c r="W65">
        <f t="shared" si="4"/>
        <v>100.00000000000033</v>
      </c>
    </row>
    <row r="66" spans="1:23">
      <c r="E66" s="122" t="s">
        <v>257</v>
      </c>
      <c r="F66" s="125">
        <f>$E$33</f>
        <v>20</v>
      </c>
      <c r="G66" s="117"/>
      <c r="H66" s="97">
        <v>20</v>
      </c>
      <c r="V66">
        <f t="shared" si="5"/>
        <v>0.40000000000000019</v>
      </c>
      <c r="W66">
        <f t="shared" ref="W66:W90" si="6">$C$32*EXP($C$33*(V66-$C$31))</f>
        <v>100.00000000000033</v>
      </c>
    </row>
    <row r="67" spans="1:23">
      <c r="V67">
        <f t="shared" ref="V67:V90" si="7">IF(V66+0.01&lt;=$C$31,V66+0.01,V66)</f>
        <v>0.40000000000000019</v>
      </c>
      <c r="W67">
        <f t="shared" si="6"/>
        <v>100.00000000000033</v>
      </c>
    </row>
    <row r="68" spans="1:23">
      <c r="V68">
        <f t="shared" si="7"/>
        <v>0.40000000000000019</v>
      </c>
      <c r="W68">
        <f t="shared" si="6"/>
        <v>100.00000000000033</v>
      </c>
    </row>
    <row r="69" spans="1:23">
      <c r="V69">
        <f t="shared" si="7"/>
        <v>0.40000000000000019</v>
      </c>
      <c r="W69">
        <f t="shared" si="6"/>
        <v>100.00000000000033</v>
      </c>
    </row>
    <row r="70" spans="1:23">
      <c r="A70" s="127" t="s">
        <v>268</v>
      </c>
      <c r="B70" s="126">
        <f>-50/F65/F66*(1-EXP(F66*F64))</f>
        <v>74.49894967604321</v>
      </c>
      <c r="C70" s="97" t="s">
        <v>269</v>
      </c>
      <c r="V70">
        <f t="shared" si="7"/>
        <v>0.40000000000000019</v>
      </c>
      <c r="W70">
        <f t="shared" si="6"/>
        <v>100.00000000000033</v>
      </c>
    </row>
    <row r="71" spans="1:23">
      <c r="V71">
        <f t="shared" si="7"/>
        <v>0.40000000000000019</v>
      </c>
      <c r="W71">
        <f t="shared" si="6"/>
        <v>100.00000000000033</v>
      </c>
    </row>
    <row r="72" spans="1:23" ht="18.75">
      <c r="A72" s="10" t="s">
        <v>179</v>
      </c>
      <c r="V72">
        <f t="shared" si="7"/>
        <v>0.40000000000000019</v>
      </c>
      <c r="W72">
        <f t="shared" si="6"/>
        <v>100.00000000000033</v>
      </c>
    </row>
    <row r="73" spans="1:23" ht="16.5">
      <c r="A73" s="97" t="s">
        <v>271</v>
      </c>
      <c r="M73" s="97">
        <f>F65*EXP(-F66*F64)</f>
        <v>3.3546262790251184E-2</v>
      </c>
      <c r="N73" s="97" t="s">
        <v>39</v>
      </c>
      <c r="V73">
        <f t="shared" si="7"/>
        <v>0.40000000000000019</v>
      </c>
      <c r="W73">
        <f t="shared" si="6"/>
        <v>100.00000000000033</v>
      </c>
    </row>
    <row r="74" spans="1:23">
      <c r="A74" s="118" t="s">
        <v>270</v>
      </c>
      <c r="V74">
        <f t="shared" si="7"/>
        <v>0.40000000000000019</v>
      </c>
      <c r="W74">
        <f t="shared" si="6"/>
        <v>100.00000000000033</v>
      </c>
    </row>
    <row r="75" spans="1:23">
      <c r="V75">
        <f t="shared" si="7"/>
        <v>0.40000000000000019</v>
      </c>
      <c r="W75">
        <f t="shared" si="6"/>
        <v>100.00000000000033</v>
      </c>
    </row>
    <row r="76" spans="1:23">
      <c r="A76" s="118"/>
      <c r="V76">
        <f t="shared" si="7"/>
        <v>0.40000000000000019</v>
      </c>
      <c r="W76">
        <f t="shared" si="6"/>
        <v>100.00000000000033</v>
      </c>
    </row>
    <row r="77" spans="1:23">
      <c r="V77">
        <f t="shared" si="7"/>
        <v>0.40000000000000019</v>
      </c>
      <c r="W77">
        <f t="shared" si="6"/>
        <v>100.00000000000033</v>
      </c>
    </row>
    <row r="78" spans="1:23">
      <c r="V78">
        <f t="shared" si="7"/>
        <v>0.40000000000000019</v>
      </c>
      <c r="W78">
        <f t="shared" si="6"/>
        <v>100.00000000000033</v>
      </c>
    </row>
    <row r="79" spans="1:23">
      <c r="V79">
        <f t="shared" si="7"/>
        <v>0.40000000000000019</v>
      </c>
      <c r="W79">
        <f t="shared" si="6"/>
        <v>100.00000000000033</v>
      </c>
    </row>
    <row r="80" spans="1:23">
      <c r="V80">
        <f t="shared" si="7"/>
        <v>0.40000000000000019</v>
      </c>
      <c r="W80">
        <f t="shared" si="6"/>
        <v>100.00000000000033</v>
      </c>
    </row>
    <row r="81" spans="22:23">
      <c r="V81">
        <f t="shared" si="7"/>
        <v>0.40000000000000019</v>
      </c>
      <c r="W81">
        <f t="shared" si="6"/>
        <v>100.00000000000033</v>
      </c>
    </row>
    <row r="82" spans="22:23">
      <c r="V82">
        <f t="shared" si="7"/>
        <v>0.40000000000000019</v>
      </c>
      <c r="W82">
        <f t="shared" si="6"/>
        <v>100.00000000000033</v>
      </c>
    </row>
    <row r="83" spans="22:23">
      <c r="V83">
        <f t="shared" si="7"/>
        <v>0.40000000000000019</v>
      </c>
      <c r="W83">
        <f t="shared" si="6"/>
        <v>100.00000000000033</v>
      </c>
    </row>
    <row r="84" spans="22:23">
      <c r="V84">
        <f t="shared" si="7"/>
        <v>0.40000000000000019</v>
      </c>
      <c r="W84">
        <f t="shared" si="6"/>
        <v>100.00000000000033</v>
      </c>
    </row>
    <row r="85" spans="22:23">
      <c r="V85">
        <f t="shared" si="7"/>
        <v>0.40000000000000019</v>
      </c>
      <c r="W85">
        <f t="shared" si="6"/>
        <v>100.00000000000033</v>
      </c>
    </row>
    <row r="86" spans="22:23">
      <c r="V86">
        <f t="shared" si="7"/>
        <v>0.40000000000000019</v>
      </c>
      <c r="W86">
        <f t="shared" si="6"/>
        <v>100.00000000000033</v>
      </c>
    </row>
    <row r="87" spans="22:23">
      <c r="V87">
        <f t="shared" si="7"/>
        <v>0.40000000000000019</v>
      </c>
      <c r="W87">
        <f t="shared" si="6"/>
        <v>100.00000000000033</v>
      </c>
    </row>
    <row r="88" spans="22:23">
      <c r="V88">
        <f t="shared" si="7"/>
        <v>0.40000000000000019</v>
      </c>
      <c r="W88">
        <f t="shared" si="6"/>
        <v>100.00000000000033</v>
      </c>
    </row>
    <row r="89" spans="22:23">
      <c r="V89">
        <f t="shared" si="7"/>
        <v>0.40000000000000019</v>
      </c>
      <c r="W89">
        <f t="shared" si="6"/>
        <v>100.00000000000033</v>
      </c>
    </row>
    <row r="90" spans="22:23">
      <c r="V90">
        <f t="shared" si="7"/>
        <v>0.40000000000000019</v>
      </c>
      <c r="W90">
        <f t="shared" si="6"/>
        <v>100.00000000000033</v>
      </c>
    </row>
  </sheetData>
  <phoneticPr fontId="1"/>
  <pageMargins left="0.7" right="0.7" top="0.75" bottom="0.75" header="0.3" footer="0.3"/>
  <pageSetup paperSize="9" orientation="portrait" r:id="rId1"/>
  <drawing r:id="rId2"/>
  <legacyDrawing r:id="rId3"/>
  <oleObjects>
    <oleObject progId="Equation.3" shapeId="18434" r:id="rId4"/>
    <oleObject progId="Equation.3" shapeId="18435" r:id="rId5"/>
    <oleObject progId="Equation.3" shapeId="18443" r:id="rId6"/>
    <oleObject progId="Equation.3" shapeId="18444" r:id="rId7"/>
    <oleObject progId="Equation.3" shapeId="18445" r:id="rId8"/>
  </oleObjects>
  <controls>
    <control shapeId="18448" r:id="rId9" name="ScrollBar6"/>
    <control shapeId="18447" r:id="rId10" name="ScrollBar5"/>
    <control shapeId="18446" r:id="rId11" name="ScrollBar4"/>
    <control shapeId="18439" r:id="rId12" name="ScrollBar3"/>
    <control shapeId="18438" r:id="rId13" name="ScrollBar2"/>
    <control shapeId="18437" r:id="rId14" name="ScrollBar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1</vt:lpstr>
      <vt:lpstr>2</vt:lpstr>
      <vt:lpstr>3</vt:lpstr>
      <vt:lpstr>4_5</vt:lpstr>
      <vt:lpstr>6</vt:lpstr>
      <vt:lpstr>7</vt:lpstr>
      <vt:lpstr>8</vt:lpstr>
      <vt:lpstr>9</vt:lpstr>
      <vt:lpstr>10</vt:lpstr>
      <vt:lpstr>11_12</vt:lpstr>
      <vt:lpstr>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Kunio Watanabe</cp:lastModifiedBy>
  <dcterms:created xsi:type="dcterms:W3CDTF">2012-10-17T03:11:40Z</dcterms:created>
  <dcterms:modified xsi:type="dcterms:W3CDTF">2012-11-16T01:00:31Z</dcterms:modified>
</cp:coreProperties>
</file>