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5191" windowWidth="15480" windowHeight="11640" activeTab="4"/>
  </bookViews>
  <sheets>
    <sheet name="VG eq." sheetId="1" r:id="rId1"/>
    <sheet name="VG eq. flexible m" sheetId="2" r:id="rId2"/>
    <sheet name="Brooks &amp; Corey" sheetId="3" r:id="rId3"/>
    <sheet name="modified VG" sheetId="4" r:id="rId4"/>
    <sheet name="Kosugi" sheetId="5" r:id="rId5"/>
  </sheets>
  <definedNames/>
  <calcPr fullCalcOnLoad="1"/>
</workbook>
</file>

<file path=xl/sharedStrings.xml><?xml version="1.0" encoding="utf-8"?>
<sst xmlns="http://schemas.openxmlformats.org/spreadsheetml/2006/main" count="143" uniqueCount="68">
  <si>
    <t>n</t>
  </si>
  <si>
    <t>l</t>
  </si>
  <si>
    <r>
      <t>q</t>
    </r>
    <r>
      <rPr>
        <i/>
        <vertAlign val="subscript"/>
        <sz val="11"/>
        <rFont val="ＭＳ Ｐゴシック"/>
        <family val="3"/>
      </rPr>
      <t>r</t>
    </r>
  </si>
  <si>
    <r>
      <t>q</t>
    </r>
    <r>
      <rPr>
        <i/>
        <vertAlign val="subscript"/>
        <sz val="11"/>
        <rFont val="Times New Roman"/>
        <family val="1"/>
      </rPr>
      <t>s</t>
    </r>
  </si>
  <si>
    <t>a</t>
  </si>
  <si>
    <r>
      <t>S</t>
    </r>
    <r>
      <rPr>
        <i/>
        <vertAlign val="subscript"/>
        <sz val="11"/>
        <rFont val="Times New Roman"/>
        <family val="1"/>
      </rPr>
      <t>e</t>
    </r>
  </si>
  <si>
    <r>
      <t>|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| (cm)</t>
    </r>
  </si>
  <si>
    <t>q</t>
  </si>
  <si>
    <r>
      <t>K</t>
    </r>
    <r>
      <rPr>
        <i/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>(cm/day)</t>
    </r>
  </si>
  <si>
    <r>
      <t>K</t>
    </r>
    <r>
      <rPr>
        <i/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(cm/day)</t>
    </r>
  </si>
  <si>
    <t>==================================</t>
  </si>
  <si>
    <t>Name</t>
  </si>
  <si>
    <t>Sand</t>
  </si>
  <si>
    <t>Silt</t>
  </si>
  <si>
    <t>Loam</t>
  </si>
  <si>
    <t>Clay</t>
  </si>
  <si>
    <r>
      <t>m</t>
    </r>
    <r>
      <rPr>
        <sz val="11"/>
        <rFont val="Times New Roman"/>
        <family val="1"/>
      </rPr>
      <t>(=1-1/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)</t>
    </r>
  </si>
  <si>
    <t>Brooks &amp; Corey equation</t>
  </si>
  <si>
    <r>
      <t>q</t>
    </r>
    <r>
      <rPr>
        <i/>
        <vertAlign val="subscript"/>
        <sz val="11"/>
        <rFont val="ＭＳ Ｐゴシック"/>
        <family val="3"/>
      </rPr>
      <t>r</t>
    </r>
  </si>
  <si>
    <r>
      <t>q</t>
    </r>
    <r>
      <rPr>
        <i/>
        <vertAlign val="subscript"/>
        <sz val="11"/>
        <rFont val="Times New Roman"/>
        <family val="1"/>
      </rPr>
      <t>s</t>
    </r>
  </si>
  <si>
    <t>a</t>
  </si>
  <si>
    <r>
      <t>K</t>
    </r>
    <r>
      <rPr>
        <i/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>(cm/day)</t>
    </r>
  </si>
  <si>
    <r>
      <t>|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| (cm)</t>
    </r>
  </si>
  <si>
    <r>
      <t>S</t>
    </r>
    <r>
      <rPr>
        <i/>
        <vertAlign val="subscript"/>
        <sz val="11"/>
        <rFont val="Times New Roman"/>
        <family val="1"/>
      </rPr>
      <t>e</t>
    </r>
  </si>
  <si>
    <t>q</t>
  </si>
  <si>
    <r>
      <t>K</t>
    </r>
    <r>
      <rPr>
        <i/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(cm/day)</t>
    </r>
  </si>
  <si>
    <t>Kosugi parameter</t>
  </si>
  <si>
    <r>
      <t>q</t>
    </r>
    <r>
      <rPr>
        <i/>
        <vertAlign val="subscript"/>
        <sz val="11"/>
        <rFont val="ＭＳ Ｐゴシック"/>
        <family val="3"/>
      </rPr>
      <t>r</t>
    </r>
  </si>
  <si>
    <r>
      <t>q</t>
    </r>
    <r>
      <rPr>
        <i/>
        <vertAlign val="subscript"/>
        <sz val="11"/>
        <rFont val="Times New Roman"/>
        <family val="1"/>
      </rPr>
      <t>s</t>
    </r>
  </si>
  <si>
    <t>silt</t>
  </si>
  <si>
    <t>a</t>
  </si>
  <si>
    <r>
      <t>K</t>
    </r>
    <r>
      <rPr>
        <i/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>(cm/day)</t>
    </r>
  </si>
  <si>
    <r>
      <t>|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| (cm)</t>
    </r>
  </si>
  <si>
    <t>z</t>
  </si>
  <si>
    <t>t</t>
  </si>
  <si>
    <t>erfc</t>
  </si>
  <si>
    <r>
      <t>S</t>
    </r>
    <r>
      <rPr>
        <i/>
        <vertAlign val="subscript"/>
        <sz val="11"/>
        <rFont val="Times New Roman"/>
        <family val="1"/>
      </rPr>
      <t>e</t>
    </r>
  </si>
  <si>
    <t>q</t>
  </si>
  <si>
    <t>z2</t>
  </si>
  <si>
    <t>t2</t>
  </si>
  <si>
    <t>erfc2</t>
  </si>
  <si>
    <r>
      <t>K</t>
    </r>
    <r>
      <rPr>
        <i/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(cm/day)</t>
    </r>
  </si>
  <si>
    <t>Kosugi equation (in HYDRUS)</t>
  </si>
  <si>
    <t>Sand</t>
  </si>
  <si>
    <t>Silt</t>
  </si>
  <si>
    <t>Loam</t>
  </si>
  <si>
    <t>Clay</t>
  </si>
  <si>
    <t>m</t>
  </si>
  <si>
    <r>
      <t>|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| (cm)</t>
    </r>
  </si>
  <si>
    <t>q</t>
  </si>
  <si>
    <t>Modified van Genuchten equation</t>
  </si>
  <si>
    <r>
      <t>q</t>
    </r>
    <r>
      <rPr>
        <i/>
        <vertAlign val="subscript"/>
        <sz val="11"/>
        <rFont val="Times New Roman"/>
        <family val="1"/>
      </rPr>
      <t>m</t>
    </r>
  </si>
  <si>
    <r>
      <t>q</t>
    </r>
    <r>
      <rPr>
        <i/>
        <vertAlign val="subscript"/>
        <sz val="11"/>
        <rFont val="Times New Roman"/>
        <family val="1"/>
      </rPr>
      <t>a</t>
    </r>
  </si>
  <si>
    <r>
      <t>q</t>
    </r>
    <r>
      <rPr>
        <i/>
        <vertAlign val="subscript"/>
        <sz val="11"/>
        <rFont val="Times New Roman"/>
        <family val="1"/>
      </rPr>
      <t>k</t>
    </r>
  </si>
  <si>
    <r>
      <t>K</t>
    </r>
    <r>
      <rPr>
        <i/>
        <vertAlign val="subscript"/>
        <sz val="11"/>
        <rFont val="Times New Roman"/>
        <family val="1"/>
      </rPr>
      <t>k</t>
    </r>
  </si>
  <si>
    <r>
      <t>h</t>
    </r>
    <r>
      <rPr>
        <i/>
        <vertAlign val="subscript"/>
        <sz val="11"/>
        <rFont val="Times New Roman"/>
        <family val="1"/>
      </rPr>
      <t>s</t>
    </r>
  </si>
  <si>
    <r>
      <t>h</t>
    </r>
    <r>
      <rPr>
        <i/>
        <vertAlign val="subscript"/>
        <sz val="11"/>
        <rFont val="Times New Roman"/>
        <family val="1"/>
      </rPr>
      <t>k</t>
    </r>
  </si>
  <si>
    <r>
      <t>F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θ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)</t>
    </r>
  </si>
  <si>
    <r>
      <t>F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θ</t>
    </r>
    <r>
      <rPr>
        <i/>
        <vertAlign val="subscript"/>
        <sz val="11"/>
        <rFont val="Times New Roman"/>
        <family val="1"/>
      </rPr>
      <t>k</t>
    </r>
    <r>
      <rPr>
        <sz val="11"/>
        <rFont val="Times New Roman"/>
        <family val="1"/>
      </rPr>
      <t>)</t>
    </r>
  </si>
  <si>
    <r>
      <t>F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θ</t>
    </r>
    <r>
      <rPr>
        <sz val="11"/>
        <rFont val="Times New Roman"/>
        <family val="1"/>
      </rPr>
      <t>)</t>
    </r>
  </si>
  <si>
    <r>
      <t>K</t>
    </r>
    <r>
      <rPr>
        <i/>
        <vertAlign val="subscript"/>
        <sz val="11"/>
        <rFont val="Times New Roman"/>
        <family val="1"/>
      </rPr>
      <t>s</t>
    </r>
  </si>
  <si>
    <t>Modified van Genuchten parameter</t>
  </si>
  <si>
    <r>
      <t>m</t>
    </r>
  </si>
  <si>
    <r>
      <t>van Genuchten equation (</t>
    </r>
    <r>
      <rPr>
        <b/>
        <i/>
        <sz val="14"/>
        <rFont val="Arial"/>
        <family val="2"/>
      </rPr>
      <t>m</t>
    </r>
    <r>
      <rPr>
        <b/>
        <sz val="14"/>
        <rFont val="Arial"/>
        <family val="2"/>
      </rPr>
      <t>=1-1/</t>
    </r>
    <r>
      <rPr>
        <b/>
        <i/>
        <sz val="14"/>
        <rFont val="Arial"/>
        <family val="2"/>
      </rPr>
      <t>n</t>
    </r>
    <r>
      <rPr>
        <b/>
        <sz val="14"/>
        <rFont val="Arial"/>
        <family val="2"/>
      </rPr>
      <t>)</t>
    </r>
  </si>
  <si>
    <r>
      <t xml:space="preserve">van Genuchten equation (unbound </t>
    </r>
    <r>
      <rPr>
        <b/>
        <i/>
        <sz val="14"/>
        <rFont val="Arial"/>
        <family val="2"/>
      </rPr>
      <t>n</t>
    </r>
    <r>
      <rPr>
        <b/>
        <sz val="14"/>
        <rFont val="Arial"/>
        <family val="2"/>
      </rPr>
      <t xml:space="preserve"> and </t>
    </r>
    <r>
      <rPr>
        <b/>
        <i/>
        <sz val="14"/>
        <rFont val="Arial"/>
        <family val="2"/>
      </rPr>
      <t>m</t>
    </r>
    <r>
      <rPr>
        <b/>
        <sz val="14"/>
        <rFont val="Arial"/>
        <family val="2"/>
      </rPr>
      <t>)</t>
    </r>
  </si>
  <si>
    <t>Brooks &amp; Corey parameters</t>
  </si>
  <si>
    <t>Van Genuchten parameters</t>
  </si>
  <si>
    <r>
      <t>S</t>
    </r>
    <r>
      <rPr>
        <i/>
        <vertAlign val="subscript"/>
        <sz val="11"/>
        <rFont val="Times New Roman"/>
        <family val="1"/>
      </rPr>
      <t>ek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</si>
</sst>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000000_ "/>
    <numFmt numFmtId="178" formatCode="0.0000_ "/>
    <numFmt numFmtId="179" formatCode="0.000E+00"/>
    <numFmt numFmtId="180" formatCode="0.0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i/>
      <sz val="11"/>
      <name val="Symbol"/>
      <family val="1"/>
    </font>
    <font>
      <i/>
      <vertAlign val="subscript"/>
      <sz val="11"/>
      <name val="ＭＳ Ｐゴシック"/>
      <family val="3"/>
    </font>
    <font>
      <i/>
      <vertAlign val="subscript"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Symbol"/>
      <family val="1"/>
    </font>
    <font>
      <sz val="16"/>
      <name val="ＭＳ Ｐゴシック"/>
      <family val="3"/>
    </font>
    <font>
      <b/>
      <i/>
      <sz val="14"/>
      <name val="Arial"/>
      <family val="2"/>
    </font>
    <font>
      <i/>
      <sz val="12"/>
      <name val="Symbol"/>
      <family val="1"/>
    </font>
    <font>
      <sz val="11.5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0" xfId="20">
      <alignment vertical="center"/>
      <protection/>
    </xf>
    <xf numFmtId="177" fontId="0" fillId="0" borderId="0" xfId="20" applyNumberFormat="1">
      <alignment vertical="center"/>
      <protection/>
    </xf>
    <xf numFmtId="11" fontId="0" fillId="0" borderId="0" xfId="20" applyNumberFormat="1">
      <alignment vertical="center"/>
      <protection/>
    </xf>
    <xf numFmtId="178" fontId="0" fillId="0" borderId="0" xfId="20" applyNumberFormat="1">
      <alignment vertical="center"/>
      <protection/>
    </xf>
    <xf numFmtId="0" fontId="0" fillId="0" borderId="7" xfId="0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YDRUS水分特性比較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45"/>
          <c:w val="0.848"/>
          <c:h val="0.89525"/>
        </c:manualLayout>
      </c:layout>
      <c:scatterChart>
        <c:scatterStyle val="smooth"/>
        <c:varyColors val="0"/>
        <c:ser>
          <c:idx val="0"/>
          <c:order val="0"/>
          <c:tx>
            <c:v>q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 eq.'!$A$42:$A$99</c:f>
              <c:numCache/>
            </c:numRef>
          </c:xVal>
          <c:yVal>
            <c:numRef>
              <c:f>'VG eq.'!$C$42:$C$99</c:f>
              <c:numCache/>
            </c:numRef>
          </c:yVal>
          <c:smooth val="1"/>
        </c:ser>
        <c:axId val="28837662"/>
        <c:axId val="39345287"/>
      </c:scatterChart>
      <c:scatterChart>
        <c:scatterStyle val="lineMarker"/>
        <c:varyColors val="0"/>
        <c:ser>
          <c:idx val="1"/>
          <c:order val="1"/>
          <c:tx>
            <c:v>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 eq.'!$A$42:$A$92</c:f>
              <c:numCache/>
            </c:numRef>
          </c:xVal>
          <c:yVal>
            <c:numRef>
              <c:f>'VG eq.'!$D$42:$D$92</c:f>
              <c:numCache/>
            </c:numRef>
          </c:yVal>
          <c:smooth val="0"/>
        </c:ser>
        <c:axId val="41726684"/>
        <c:axId val="5575981"/>
      </c:scatterChart>
      <c:valAx>
        <c:axId val="28837662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45287"/>
        <c:crosses val="autoZero"/>
        <c:crossBetween val="midCat"/>
        <c:dispUnits/>
      </c:valAx>
      <c:valAx>
        <c:axId val="39345287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37662"/>
        <c:crosses val="autoZero"/>
        <c:crossBetween val="midCat"/>
        <c:dispUnits/>
        <c:majorUnit val="0.2"/>
      </c:valAx>
      <c:valAx>
        <c:axId val="41726684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5575981"/>
        <c:crosses val="max"/>
        <c:crossBetween val="midCat"/>
        <c:dispUnits/>
      </c:valAx>
      <c:valAx>
        <c:axId val="5575981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41726684"/>
        <c:crosses val="max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2645"/>
          <c:y val="0.6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7625"/>
          <c:w val="0.84975"/>
          <c:h val="0.8447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Kosugi!$F$44:$F$106</c:f>
              <c:numCache/>
            </c:numRef>
          </c:xVal>
          <c:yVal>
            <c:numRef>
              <c:f>Kosugi!$J$44:$J$106</c:f>
              <c:numCache/>
            </c:numRef>
          </c:yVal>
          <c:smooth val="0"/>
        </c:ser>
        <c:axId val="39570450"/>
        <c:axId val="44653803"/>
      </c:scatterChart>
      <c:valAx>
        <c:axId val="3957045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4653803"/>
        <c:crossesAt val="10000"/>
        <c:crossBetween val="midCat"/>
        <c:dispUnits/>
        <c:majorUnit val="0.2"/>
      </c:valAx>
      <c:valAx>
        <c:axId val="44653803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39570450"/>
        <c:crosses val="autoZero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7725"/>
          <c:w val="0.84825"/>
          <c:h val="0.8425"/>
        </c:manualLayout>
      </c:layout>
      <c:scatterChart>
        <c:scatterStyle val="line"/>
        <c:varyColors val="0"/>
        <c:ser>
          <c:idx val="1"/>
          <c:order val="0"/>
          <c:tx>
            <c:v>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 eq.'!$C$41:$C$92</c:f>
              <c:numCache/>
            </c:numRef>
          </c:xVal>
          <c:yVal>
            <c:numRef>
              <c:f>'VG eq.'!$D$41:$D$92</c:f>
              <c:numCache/>
            </c:numRef>
          </c:yVal>
          <c:smooth val="0"/>
        </c:ser>
        <c:axId val="5378890"/>
        <c:axId val="2816707"/>
      </c:scatterChart>
      <c:valAx>
        <c:axId val="537889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2816707"/>
        <c:crossesAt val="10000"/>
        <c:crossBetween val="midCat"/>
        <c:dispUnits/>
        <c:majorUnit val="0.2"/>
      </c:valAx>
      <c:valAx>
        <c:axId val="2816707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5378890"/>
        <c:crosses val="autoZero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45"/>
          <c:w val="0.848"/>
          <c:h val="0.89525"/>
        </c:manualLayout>
      </c:layout>
      <c:scatterChart>
        <c:scatterStyle val="smooth"/>
        <c:varyColors val="0"/>
        <c:ser>
          <c:idx val="0"/>
          <c:order val="0"/>
          <c:tx>
            <c:v>q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 eq. flexible m'!$A$42:$A$99</c:f>
              <c:numCache/>
            </c:numRef>
          </c:xVal>
          <c:yVal>
            <c:numRef>
              <c:f>'VG eq. flexible m'!$C$42:$C$99</c:f>
              <c:numCache/>
            </c:numRef>
          </c:yVal>
          <c:smooth val="1"/>
        </c:ser>
        <c:axId val="36617192"/>
        <c:axId val="6261449"/>
      </c:scatterChart>
      <c:scatterChart>
        <c:scatterStyle val="lineMarker"/>
        <c:varyColors val="0"/>
        <c:ser>
          <c:idx val="1"/>
          <c:order val="1"/>
          <c:tx>
            <c:v>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 eq. flexible m'!$A$42:$A$92</c:f>
              <c:numCache/>
            </c:numRef>
          </c:xVal>
          <c:yVal>
            <c:numRef>
              <c:f>'VG eq. flexible m'!$D$42:$D$92</c:f>
              <c:numCache/>
            </c:numRef>
          </c:yVal>
          <c:smooth val="0"/>
        </c:ser>
        <c:axId val="14289974"/>
        <c:axId val="51551935"/>
      </c:scatterChart>
      <c:valAx>
        <c:axId val="36617192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1449"/>
        <c:crosses val="autoZero"/>
        <c:crossBetween val="midCat"/>
        <c:dispUnits/>
      </c:valAx>
      <c:valAx>
        <c:axId val="6261449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17192"/>
        <c:crosses val="autoZero"/>
        <c:crossBetween val="midCat"/>
        <c:dispUnits/>
        <c:majorUnit val="0.2"/>
      </c:valAx>
      <c:valAx>
        <c:axId val="14289974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51551935"/>
        <c:crosses val="max"/>
        <c:crossBetween val="midCat"/>
        <c:dispUnits/>
      </c:valAx>
      <c:valAx>
        <c:axId val="51551935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14289974"/>
        <c:crosses val="max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2645"/>
          <c:y val="0.6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7725"/>
          <c:w val="0.84825"/>
          <c:h val="0.8425"/>
        </c:manualLayout>
      </c:layout>
      <c:scatterChart>
        <c:scatterStyle val="line"/>
        <c:varyColors val="0"/>
        <c:ser>
          <c:idx val="1"/>
          <c:order val="0"/>
          <c:tx>
            <c:v>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 eq. flexible m'!$C$41:$C$92</c:f>
              <c:numCache/>
            </c:numRef>
          </c:xVal>
          <c:yVal>
            <c:numRef>
              <c:f>'VG eq. flexible m'!$D$41:$D$92</c:f>
              <c:numCache/>
            </c:numRef>
          </c:yVal>
          <c:smooth val="0"/>
        </c:ser>
        <c:axId val="66195380"/>
        <c:axId val="55233573"/>
      </c:scatterChart>
      <c:valAx>
        <c:axId val="6619538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55233573"/>
        <c:crossesAt val="10000"/>
        <c:crossBetween val="midCat"/>
        <c:dispUnits/>
        <c:majorUnit val="0.2"/>
      </c:valAx>
      <c:valAx>
        <c:axId val="55233573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66195380"/>
        <c:crosses val="autoZero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45"/>
          <c:w val="0.8477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q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'Brooks &amp; Corey'!$A$42:$A$97</c:f>
              <c:numCache/>
            </c:numRef>
          </c:xVal>
          <c:yVal>
            <c:numRef>
              <c:f>'Brooks &amp; Corey'!$C$42:$C$97</c:f>
              <c:numCache/>
            </c:numRef>
          </c:yVal>
          <c:smooth val="1"/>
        </c:ser>
        <c:axId val="46947810"/>
        <c:axId val="6341755"/>
      </c:scatterChart>
      <c:scatterChart>
        <c:scatterStyle val="lineMarker"/>
        <c:varyColors val="0"/>
        <c:ser>
          <c:idx val="1"/>
          <c:order val="1"/>
          <c:tx>
            <c:v>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'Brooks &amp; Corey'!$A$42:$A$93</c:f>
              <c:numCache/>
            </c:numRef>
          </c:xVal>
          <c:yVal>
            <c:numRef>
              <c:f>'Brooks &amp; Corey'!$D$42:$D$93</c:f>
              <c:numCache/>
            </c:numRef>
          </c:yVal>
          <c:smooth val="0"/>
        </c:ser>
        <c:axId val="15333952"/>
        <c:axId val="65123649"/>
      </c:scatterChart>
      <c:valAx>
        <c:axId val="46947810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1755"/>
        <c:crosses val="autoZero"/>
        <c:crossBetween val="midCat"/>
        <c:dispUnits/>
      </c:valAx>
      <c:valAx>
        <c:axId val="634175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47810"/>
        <c:crosses val="autoZero"/>
        <c:crossBetween val="midCat"/>
        <c:dispUnits/>
        <c:majorUnit val="0.2"/>
      </c:valAx>
      <c:valAx>
        <c:axId val="15333952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65123649"/>
        <c:crosses val="max"/>
        <c:crossBetween val="midCat"/>
        <c:dispUnits/>
      </c:valAx>
      <c:valAx>
        <c:axId val="65123649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15333952"/>
        <c:crosses val="max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"/>
          <c:y val="0.6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7725"/>
          <c:w val="0.848"/>
          <c:h val="0.842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'Brooks &amp; Corey'!$C$41:$C$103</c:f>
              <c:numCache/>
            </c:numRef>
          </c:xVal>
          <c:yVal>
            <c:numRef>
              <c:f>'Brooks &amp; Corey'!$D$41:$D$103</c:f>
              <c:numCache/>
            </c:numRef>
          </c:yVal>
          <c:smooth val="0"/>
        </c:ser>
        <c:axId val="41301070"/>
        <c:axId val="42999"/>
      </c:scatterChart>
      <c:valAx>
        <c:axId val="4130107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2999"/>
        <c:crossesAt val="10000"/>
        <c:crossBetween val="midCat"/>
        <c:dispUnits/>
        <c:majorUnit val="0.2"/>
      </c:valAx>
      <c:valAx>
        <c:axId val="42999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41301070"/>
        <c:crosses val="autoZero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4"/>
          <c:w val="0.88575"/>
          <c:h val="0.93275"/>
        </c:manualLayout>
      </c:layout>
      <c:scatterChart>
        <c:scatterStyle val="smooth"/>
        <c:varyColors val="0"/>
        <c:ser>
          <c:idx val="0"/>
          <c:order val="0"/>
          <c:tx>
            <c:v>q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VG'!$A$61:$A$111</c:f>
              <c:numCache/>
            </c:numRef>
          </c:xVal>
          <c:yVal>
            <c:numRef>
              <c:f>'modified VG'!$C$61:$C$111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VG'!$A$61:$A$111</c:f>
              <c:numCache/>
            </c:numRef>
          </c:xVal>
          <c:yVal>
            <c:numRef>
              <c:f>'modified VG'!$B$61:$B$111</c:f>
              <c:numCache/>
            </c:numRef>
          </c:yVal>
          <c:smooth val="1"/>
        </c:ser>
        <c:axId val="558988"/>
        <c:axId val="7266845"/>
      </c:scatterChart>
      <c:scatterChart>
        <c:scatterStyle val="lineMarker"/>
        <c:varyColors val="0"/>
        <c:ser>
          <c:idx val="1"/>
          <c:order val="1"/>
          <c:tx>
            <c:v>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VG'!$A$61:$A$111</c:f>
              <c:numCache/>
            </c:numRef>
          </c:xVal>
          <c:yVal>
            <c:numRef>
              <c:f>'modified VG'!$H$61:$H$111</c:f>
              <c:numCache/>
            </c:numRef>
          </c:yVal>
          <c:smooth val="0"/>
        </c:ser>
        <c:axId val="27360122"/>
        <c:axId val="20137267"/>
      </c:scatterChart>
      <c:valAx>
        <c:axId val="558988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66845"/>
        <c:crosses val="autoZero"/>
        <c:crossBetween val="midCat"/>
        <c:dispUnits/>
      </c:valAx>
      <c:valAx>
        <c:axId val="726684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988"/>
        <c:crosses val="autoZero"/>
        <c:crossBetween val="midCat"/>
        <c:dispUnits/>
        <c:majorUnit val="0.2"/>
      </c:valAx>
      <c:valAx>
        <c:axId val="27360122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20137267"/>
        <c:crosses val="max"/>
        <c:crossBetween val="midCat"/>
        <c:dispUnits/>
      </c:valAx>
      <c:valAx>
        <c:axId val="20137267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27360122"/>
        <c:crosses val="max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825"/>
          <c:y val="0.6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6075"/>
          <c:w val="0.86625"/>
          <c:h val="0.90375"/>
        </c:manualLayout>
      </c:layout>
      <c:scatterChart>
        <c:scatterStyle val="line"/>
        <c:varyColors val="0"/>
        <c:ser>
          <c:idx val="1"/>
          <c:order val="0"/>
          <c:tx>
            <c:v>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VG'!$C$60:$C$111</c:f>
              <c:numCache/>
            </c:numRef>
          </c:xVal>
          <c:yVal>
            <c:numRef>
              <c:f>'modified VG'!$H$60:$H$111</c:f>
              <c:numCache/>
            </c:numRef>
          </c:yVal>
          <c:smooth val="0"/>
        </c:ser>
        <c:axId val="60457880"/>
        <c:axId val="47754937"/>
      </c:scatterChart>
      <c:valAx>
        <c:axId val="60457880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7754937"/>
        <c:crossesAt val="10000"/>
        <c:crossBetween val="midCat"/>
        <c:dispUnits/>
        <c:majorUnit val="0.2"/>
      </c:valAx>
      <c:valAx>
        <c:axId val="47754937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K (cm/day)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60457880"/>
        <c:crosses val="autoZero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24"/>
          <c:w val="0.84775"/>
          <c:h val="0.8965"/>
        </c:manualLayout>
      </c:layout>
      <c:scatterChart>
        <c:scatterStyle val="smooth"/>
        <c:varyColors val="0"/>
        <c:ser>
          <c:idx val="0"/>
          <c:order val="0"/>
          <c:tx>
            <c:v>q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Kosugi!$A$45:$A$100</c:f>
              <c:numCache/>
            </c:numRef>
          </c:xVal>
          <c:yVal>
            <c:numRef>
              <c:f>Kosugi!$F$45:$F$100</c:f>
              <c:numCache/>
            </c:numRef>
          </c:yVal>
          <c:smooth val="1"/>
        </c:ser>
        <c:axId val="16834406"/>
        <c:axId val="17520687"/>
      </c:scatterChart>
      <c:scatterChart>
        <c:scatterStyle val="lineMarker"/>
        <c:varyColors val="0"/>
        <c:ser>
          <c:idx val="1"/>
          <c:order val="1"/>
          <c:tx>
            <c:v>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Kosugi!$A$45:$A$96</c:f>
              <c:numCache/>
            </c:numRef>
          </c:xVal>
          <c:yVal>
            <c:numRef>
              <c:f>Kosugi!$J$45:$J$96</c:f>
              <c:numCache/>
            </c:numRef>
          </c:yVal>
          <c:smooth val="0"/>
        </c:ser>
        <c:axId val="26442340"/>
        <c:axId val="8206101"/>
      </c:scatterChart>
      <c:valAx>
        <c:axId val="16834406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20687"/>
        <c:crosses val="autoZero"/>
        <c:crossBetween val="midCat"/>
        <c:dispUnits/>
      </c:valAx>
      <c:valAx>
        <c:axId val="17520687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34406"/>
        <c:crosses val="autoZero"/>
        <c:crossBetween val="midCat"/>
        <c:dispUnits/>
        <c:majorUnit val="0.2"/>
      </c:valAx>
      <c:valAx>
        <c:axId val="26442340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8206101"/>
        <c:crosses val="max"/>
        <c:crossBetween val="midCat"/>
        <c:dispUnits/>
      </c:valAx>
      <c:valAx>
        <c:axId val="8206101"/>
        <c:scaling>
          <c:logBase val="10"/>
          <c:orientation val="minMax"/>
          <c:max val="10000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 (cm/day)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26442340"/>
        <c:crosses val="max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2645"/>
          <c:y val="0.6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14.emf" /><Relationship Id="rId3" Type="http://schemas.openxmlformats.org/officeDocument/2006/relationships/image" Target="../media/image34.emf" /><Relationship Id="rId4" Type="http://schemas.openxmlformats.org/officeDocument/2006/relationships/image" Target="../media/image33.emf" /><Relationship Id="rId5" Type="http://schemas.openxmlformats.org/officeDocument/2006/relationships/image" Target="../media/image4.emf" /><Relationship Id="rId6" Type="http://schemas.openxmlformats.org/officeDocument/2006/relationships/chart" Target="/xl/charts/chart1.xml" /><Relationship Id="rId7" Type="http://schemas.openxmlformats.org/officeDocument/2006/relationships/image" Target="../media/image3.emf" /><Relationship Id="rId8" Type="http://schemas.openxmlformats.org/officeDocument/2006/relationships/chart" Target="/xl/charts/chart2.xml" /><Relationship Id="rId9" Type="http://schemas.openxmlformats.org/officeDocument/2006/relationships/image" Target="../media/image3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9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chart" Target="/xl/charts/chart3.xml" /><Relationship Id="rId7" Type="http://schemas.openxmlformats.org/officeDocument/2006/relationships/image" Target="../media/image32.emf" /><Relationship Id="rId8" Type="http://schemas.openxmlformats.org/officeDocument/2006/relationships/chart" Target="/xl/charts/chart4.xml" /><Relationship Id="rId9" Type="http://schemas.openxmlformats.org/officeDocument/2006/relationships/image" Target="../media/image9.emf" /><Relationship Id="rId10" Type="http://schemas.openxmlformats.org/officeDocument/2006/relationships/image" Target="../media/image3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0.emf" /><Relationship Id="rId3" Type="http://schemas.openxmlformats.org/officeDocument/2006/relationships/image" Target="../media/image29.emf" /><Relationship Id="rId4" Type="http://schemas.openxmlformats.org/officeDocument/2006/relationships/image" Target="../media/image11.emf" /><Relationship Id="rId5" Type="http://schemas.openxmlformats.org/officeDocument/2006/relationships/image" Target="../media/image25.emf" /><Relationship Id="rId6" Type="http://schemas.openxmlformats.org/officeDocument/2006/relationships/chart" Target="/xl/charts/chart5.xml" /><Relationship Id="rId7" Type="http://schemas.openxmlformats.org/officeDocument/2006/relationships/image" Target="../media/image28.emf" /><Relationship Id="rId8" Type="http://schemas.openxmlformats.org/officeDocument/2006/relationships/chart" Target="/xl/charts/chart6.xml" /><Relationship Id="rId9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chart" Target="/xl/charts/chart7.xml" /><Relationship Id="rId6" Type="http://schemas.openxmlformats.org/officeDocument/2006/relationships/image" Target="../media/image21.emf" /><Relationship Id="rId7" Type="http://schemas.openxmlformats.org/officeDocument/2006/relationships/chart" Target="/xl/charts/chart8.xml" /><Relationship Id="rId8" Type="http://schemas.openxmlformats.org/officeDocument/2006/relationships/image" Target="../media/image13.emf" /><Relationship Id="rId9" Type="http://schemas.openxmlformats.org/officeDocument/2006/relationships/image" Target="../media/image8.emf" /><Relationship Id="rId10" Type="http://schemas.openxmlformats.org/officeDocument/2006/relationships/image" Target="../media/image18.emf" /><Relationship Id="rId11" Type="http://schemas.openxmlformats.org/officeDocument/2006/relationships/image" Target="../media/image16.emf" /><Relationship Id="rId1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2.emf" /><Relationship Id="rId3" Type="http://schemas.openxmlformats.org/officeDocument/2006/relationships/image" Target="../media/image17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chart" Target="/xl/charts/chart9.xml" /><Relationship Id="rId7" Type="http://schemas.openxmlformats.org/officeDocument/2006/relationships/image" Target="../media/image20.emf" /><Relationship Id="rId8" Type="http://schemas.openxmlformats.org/officeDocument/2006/relationships/chart" Target="/xl/charts/chart10.xml" /><Relationship Id="rId9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7</xdr:col>
      <xdr:colOff>66675</xdr:colOff>
      <xdr:row>7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7</xdr:col>
      <xdr:colOff>66675</xdr:colOff>
      <xdr:row>8</xdr:row>
      <xdr:rowOff>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3430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</xdr:row>
      <xdr:rowOff>200025</xdr:rowOff>
    </xdr:from>
    <xdr:to>
      <xdr:col>7</xdr:col>
      <xdr:colOff>76200</xdr:colOff>
      <xdr:row>9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54305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9525</xdr:rowOff>
    </xdr:from>
    <xdr:to>
      <xdr:col>7</xdr:col>
      <xdr:colOff>76200</xdr:colOff>
      <xdr:row>10</xdr:row>
      <xdr:rowOff>28575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175260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19050</xdr:rowOff>
    </xdr:from>
    <xdr:to>
      <xdr:col>7</xdr:col>
      <xdr:colOff>76200</xdr:colOff>
      <xdr:row>11</xdr:row>
      <xdr:rowOff>19050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19526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95250</xdr:rowOff>
    </xdr:from>
    <xdr:to>
      <xdr:col>6</xdr:col>
      <xdr:colOff>438150</xdr:colOff>
      <xdr:row>36</xdr:row>
      <xdr:rowOff>9525</xdr:rowOff>
    </xdr:to>
    <xdr:graphicFrame>
      <xdr:nvGraphicFramePr>
        <xdr:cNvPr id="6" name="Chart 6"/>
        <xdr:cNvGraphicFramePr/>
      </xdr:nvGraphicFramePr>
      <xdr:xfrm>
        <a:off x="0" y="2619375"/>
        <a:ext cx="46482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4</xdr:col>
      <xdr:colOff>0</xdr:colOff>
      <xdr:row>11</xdr:row>
      <xdr:rowOff>9525</xdr:rowOff>
    </xdr:from>
    <xdr:to>
      <xdr:col>7</xdr:col>
      <xdr:colOff>66675</xdr:colOff>
      <xdr:row>12</xdr:row>
      <xdr:rowOff>9525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215265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13</xdr:row>
      <xdr:rowOff>95250</xdr:rowOff>
    </xdr:from>
    <xdr:to>
      <xdr:col>13</xdr:col>
      <xdr:colOff>276225</xdr:colOff>
      <xdr:row>36</xdr:row>
      <xdr:rowOff>9525</xdr:rowOff>
    </xdr:to>
    <xdr:graphicFrame>
      <xdr:nvGraphicFramePr>
        <xdr:cNvPr id="8" name="Chart 13"/>
        <xdr:cNvGraphicFramePr/>
      </xdr:nvGraphicFramePr>
      <xdr:xfrm>
        <a:off x="4638675" y="2619375"/>
        <a:ext cx="46482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238125</xdr:colOff>
      <xdr:row>1</xdr:row>
      <xdr:rowOff>114300</xdr:rowOff>
    </xdr:from>
    <xdr:to>
      <xdr:col>9</xdr:col>
      <xdr:colOff>104775</xdr:colOff>
      <xdr:row>5</xdr:row>
      <xdr:rowOff>85725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352425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7</xdr:col>
      <xdr:colOff>66675</xdr:colOff>
      <xdr:row>7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</xdr:row>
      <xdr:rowOff>9525</xdr:rowOff>
    </xdr:from>
    <xdr:to>
      <xdr:col>7</xdr:col>
      <xdr:colOff>76200</xdr:colOff>
      <xdr:row>8</xdr:row>
      <xdr:rowOff>9525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35255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7</xdr:row>
      <xdr:rowOff>190500</xdr:rowOff>
    </xdr:from>
    <xdr:to>
      <xdr:col>7</xdr:col>
      <xdr:colOff>57150</xdr:colOff>
      <xdr:row>9</xdr:row>
      <xdr:rowOff>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15335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9525</xdr:rowOff>
    </xdr:from>
    <xdr:to>
      <xdr:col>7</xdr:col>
      <xdr:colOff>66675</xdr:colOff>
      <xdr:row>10</xdr:row>
      <xdr:rowOff>28575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175260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66675</xdr:colOff>
      <xdr:row>11</xdr:row>
      <xdr:rowOff>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19335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95250</xdr:rowOff>
    </xdr:from>
    <xdr:to>
      <xdr:col>6</xdr:col>
      <xdr:colOff>438150</xdr:colOff>
      <xdr:row>36</xdr:row>
      <xdr:rowOff>9525</xdr:rowOff>
    </xdr:to>
    <xdr:graphicFrame>
      <xdr:nvGraphicFramePr>
        <xdr:cNvPr id="6" name="Chart 6"/>
        <xdr:cNvGraphicFramePr/>
      </xdr:nvGraphicFramePr>
      <xdr:xfrm>
        <a:off x="0" y="2657475"/>
        <a:ext cx="46482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4</xdr:col>
      <xdr:colOff>0</xdr:colOff>
      <xdr:row>11</xdr:row>
      <xdr:rowOff>0</xdr:rowOff>
    </xdr:from>
    <xdr:to>
      <xdr:col>7</xdr:col>
      <xdr:colOff>66675</xdr:colOff>
      <xdr:row>12</xdr:row>
      <xdr:rowOff>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21431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13</xdr:row>
      <xdr:rowOff>95250</xdr:rowOff>
    </xdr:from>
    <xdr:to>
      <xdr:col>13</xdr:col>
      <xdr:colOff>276225</xdr:colOff>
      <xdr:row>36</xdr:row>
      <xdr:rowOff>9525</xdr:rowOff>
    </xdr:to>
    <xdr:graphicFrame>
      <xdr:nvGraphicFramePr>
        <xdr:cNvPr id="8" name="Chart 11"/>
        <xdr:cNvGraphicFramePr/>
      </xdr:nvGraphicFramePr>
      <xdr:xfrm>
        <a:off x="4638675" y="2657475"/>
        <a:ext cx="46482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4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pic>
      <xdr:nvPicPr>
        <xdr:cNvPr id="9" name="ScrollBar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9875" y="23526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142875</xdr:rowOff>
    </xdr:from>
    <xdr:to>
      <xdr:col>9</xdr:col>
      <xdr:colOff>85725</xdr:colOff>
      <xdr:row>5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38100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6</xdr:row>
      <xdr:rowOff>9525</xdr:rowOff>
    </xdr:from>
    <xdr:to>
      <xdr:col>7</xdr:col>
      <xdr:colOff>57150</xdr:colOff>
      <xdr:row>7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1334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7</xdr:row>
      <xdr:rowOff>9525</xdr:rowOff>
    </xdr:from>
    <xdr:to>
      <xdr:col>7</xdr:col>
      <xdr:colOff>57150</xdr:colOff>
      <xdr:row>8</xdr:row>
      <xdr:rowOff>9525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13430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9525</xdr:rowOff>
    </xdr:from>
    <xdr:to>
      <xdr:col>7</xdr:col>
      <xdr:colOff>66675</xdr:colOff>
      <xdr:row>9</xdr:row>
      <xdr:rowOff>28575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5525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8</xdr:row>
      <xdr:rowOff>180975</xdr:rowOff>
    </xdr:from>
    <xdr:to>
      <xdr:col>7</xdr:col>
      <xdr:colOff>57150</xdr:colOff>
      <xdr:row>10</xdr:row>
      <xdr:rowOff>9525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0350" y="17240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9525</xdr:rowOff>
    </xdr:from>
    <xdr:to>
      <xdr:col>7</xdr:col>
      <xdr:colOff>66675</xdr:colOff>
      <xdr:row>11</xdr:row>
      <xdr:rowOff>9525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19335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95250</xdr:rowOff>
    </xdr:from>
    <xdr:to>
      <xdr:col>6</xdr:col>
      <xdr:colOff>438150</xdr:colOff>
      <xdr:row>36</xdr:row>
      <xdr:rowOff>9525</xdr:rowOff>
    </xdr:to>
    <xdr:graphicFrame>
      <xdr:nvGraphicFramePr>
        <xdr:cNvPr id="6" name="Chart 6"/>
        <xdr:cNvGraphicFramePr/>
      </xdr:nvGraphicFramePr>
      <xdr:xfrm>
        <a:off x="0" y="2609850"/>
        <a:ext cx="46482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4</xdr:col>
      <xdr:colOff>0</xdr:colOff>
      <xdr:row>11</xdr:row>
      <xdr:rowOff>9525</xdr:rowOff>
    </xdr:from>
    <xdr:to>
      <xdr:col>7</xdr:col>
      <xdr:colOff>66675</xdr:colOff>
      <xdr:row>12</xdr:row>
      <xdr:rowOff>9525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21431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13</xdr:row>
      <xdr:rowOff>95250</xdr:rowOff>
    </xdr:from>
    <xdr:to>
      <xdr:col>13</xdr:col>
      <xdr:colOff>276225</xdr:colOff>
      <xdr:row>36</xdr:row>
      <xdr:rowOff>9525</xdr:rowOff>
    </xdr:to>
    <xdr:graphicFrame>
      <xdr:nvGraphicFramePr>
        <xdr:cNvPr id="8" name="Chart 8"/>
        <xdr:cNvGraphicFramePr/>
      </xdr:nvGraphicFramePr>
      <xdr:xfrm>
        <a:off x="4638675" y="2609850"/>
        <a:ext cx="46482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38100</xdr:colOff>
      <xdr:row>1</xdr:row>
      <xdr:rowOff>66675</xdr:rowOff>
    </xdr:from>
    <xdr:to>
      <xdr:col>8</xdr:col>
      <xdr:colOff>542925</xdr:colOff>
      <xdr:row>5</xdr:row>
      <xdr:rowOff>161925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295275"/>
          <a:ext cx="608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20</xdr:row>
      <xdr:rowOff>9525</xdr:rowOff>
    </xdr:from>
    <xdr:to>
      <xdr:col>7</xdr:col>
      <xdr:colOff>57150</xdr:colOff>
      <xdr:row>21</xdr:row>
      <xdr:rowOff>9525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09975"/>
          <a:ext cx="2162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21</xdr:row>
      <xdr:rowOff>19050</xdr:rowOff>
    </xdr:from>
    <xdr:to>
      <xdr:col>7</xdr:col>
      <xdr:colOff>66675</xdr:colOff>
      <xdr:row>22</xdr:row>
      <xdr:rowOff>19050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829050"/>
          <a:ext cx="2162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22</xdr:row>
      <xdr:rowOff>19050</xdr:rowOff>
    </xdr:from>
    <xdr:to>
      <xdr:col>7</xdr:col>
      <xdr:colOff>76200</xdr:colOff>
      <xdr:row>23</xdr:row>
      <xdr:rowOff>19050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403860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23</xdr:row>
      <xdr:rowOff>9525</xdr:rowOff>
    </xdr:from>
    <xdr:to>
      <xdr:col>7</xdr:col>
      <xdr:colOff>85725</xdr:colOff>
      <xdr:row>24</xdr:row>
      <xdr:rowOff>28575</xdr:rowOff>
    </xdr:to>
    <xdr:pic>
      <xdr:nvPicPr>
        <xdr:cNvPr id="4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4238625"/>
          <a:ext cx="2162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34</xdr:row>
      <xdr:rowOff>28575</xdr:rowOff>
    </xdr:from>
    <xdr:to>
      <xdr:col>6</xdr:col>
      <xdr:colOff>504825</xdr:colOff>
      <xdr:row>56</xdr:row>
      <xdr:rowOff>152400</xdr:rowOff>
    </xdr:to>
    <xdr:graphicFrame>
      <xdr:nvGraphicFramePr>
        <xdr:cNvPr id="5" name="Chart 6"/>
        <xdr:cNvGraphicFramePr/>
      </xdr:nvGraphicFramePr>
      <xdr:xfrm>
        <a:off x="66675" y="6543675"/>
        <a:ext cx="46482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9525</xdr:colOff>
      <xdr:row>24</xdr:row>
      <xdr:rowOff>9525</xdr:rowOff>
    </xdr:from>
    <xdr:to>
      <xdr:col>7</xdr:col>
      <xdr:colOff>76200</xdr:colOff>
      <xdr:row>25</xdr:row>
      <xdr:rowOff>9525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44291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33</xdr:row>
      <xdr:rowOff>180975</xdr:rowOff>
    </xdr:from>
    <xdr:to>
      <xdr:col>13</xdr:col>
      <xdr:colOff>390525</xdr:colOff>
      <xdr:row>56</xdr:row>
      <xdr:rowOff>123825</xdr:rowOff>
    </xdr:to>
    <xdr:graphicFrame>
      <xdr:nvGraphicFramePr>
        <xdr:cNvPr id="7" name="Chart 8"/>
        <xdr:cNvGraphicFramePr/>
      </xdr:nvGraphicFramePr>
      <xdr:xfrm>
        <a:off x="4752975" y="6486525"/>
        <a:ext cx="4648200" cy="3943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4</xdr:col>
      <xdr:colOff>0</xdr:colOff>
      <xdr:row>25</xdr:row>
      <xdr:rowOff>9525</xdr:rowOff>
    </xdr:from>
    <xdr:to>
      <xdr:col>7</xdr:col>
      <xdr:colOff>66675</xdr:colOff>
      <xdr:row>26</xdr:row>
      <xdr:rowOff>9525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9875" y="46386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9525</xdr:rowOff>
    </xdr:from>
    <xdr:to>
      <xdr:col>7</xdr:col>
      <xdr:colOff>66675</xdr:colOff>
      <xdr:row>28</xdr:row>
      <xdr:rowOff>9525</xdr:rowOff>
    </xdr:to>
    <xdr:pic>
      <xdr:nvPicPr>
        <xdr:cNvPr id="9" name="ScrollBar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9875" y="50577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28</xdr:row>
      <xdr:rowOff>0</xdr:rowOff>
    </xdr:from>
    <xdr:to>
      <xdr:col>7</xdr:col>
      <xdr:colOff>76200</xdr:colOff>
      <xdr:row>29</xdr:row>
      <xdr:rowOff>0</xdr:rowOff>
    </xdr:to>
    <xdr:pic>
      <xdr:nvPicPr>
        <xdr:cNvPr id="10" name="ScrollBar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19400" y="525780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</xdr:row>
      <xdr:rowOff>9525</xdr:rowOff>
    </xdr:from>
    <xdr:to>
      <xdr:col>7</xdr:col>
      <xdr:colOff>76200</xdr:colOff>
      <xdr:row>27</xdr:row>
      <xdr:rowOff>9525</xdr:rowOff>
    </xdr:to>
    <xdr:pic>
      <xdr:nvPicPr>
        <xdr:cNvPr id="11" name="ScrollBar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19400" y="48482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38100</xdr:rowOff>
    </xdr:from>
    <xdr:to>
      <xdr:col>11</xdr:col>
      <xdr:colOff>285750</xdr:colOff>
      <xdr:row>18</xdr:row>
      <xdr:rowOff>114300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" y="266700"/>
          <a:ext cx="77247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7</xdr:col>
      <xdr:colOff>66675</xdr:colOff>
      <xdr:row>10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6097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9525</xdr:rowOff>
    </xdr:from>
    <xdr:to>
      <xdr:col>7</xdr:col>
      <xdr:colOff>66675</xdr:colOff>
      <xdr:row>11</xdr:row>
      <xdr:rowOff>9525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8192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9525</xdr:rowOff>
    </xdr:from>
    <xdr:to>
      <xdr:col>7</xdr:col>
      <xdr:colOff>66675</xdr:colOff>
      <xdr:row>12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0288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</xdr:rowOff>
    </xdr:from>
    <xdr:to>
      <xdr:col>7</xdr:col>
      <xdr:colOff>66675</xdr:colOff>
      <xdr:row>13</xdr:row>
      <xdr:rowOff>9525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22383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9525</xdr:rowOff>
    </xdr:from>
    <xdr:to>
      <xdr:col>7</xdr:col>
      <xdr:colOff>66675</xdr:colOff>
      <xdr:row>14</xdr:row>
      <xdr:rowOff>28575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24479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133350</xdr:rowOff>
    </xdr:from>
    <xdr:to>
      <xdr:col>6</xdr:col>
      <xdr:colOff>438150</xdr:colOff>
      <xdr:row>41</xdr:row>
      <xdr:rowOff>85725</xdr:rowOff>
    </xdr:to>
    <xdr:graphicFrame>
      <xdr:nvGraphicFramePr>
        <xdr:cNvPr id="6" name="Chart 6"/>
        <xdr:cNvGraphicFramePr/>
      </xdr:nvGraphicFramePr>
      <xdr:xfrm>
        <a:off x="0" y="3543300"/>
        <a:ext cx="4648200" cy="3895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4</xdr:col>
      <xdr:colOff>0</xdr:colOff>
      <xdr:row>14</xdr:row>
      <xdr:rowOff>9525</xdr:rowOff>
    </xdr:from>
    <xdr:to>
      <xdr:col>7</xdr:col>
      <xdr:colOff>66675</xdr:colOff>
      <xdr:row>15</xdr:row>
      <xdr:rowOff>9525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26384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18</xdr:row>
      <xdr:rowOff>76200</xdr:rowOff>
    </xdr:from>
    <xdr:to>
      <xdr:col>13</xdr:col>
      <xdr:colOff>438150</xdr:colOff>
      <xdr:row>41</xdr:row>
      <xdr:rowOff>66675</xdr:rowOff>
    </xdr:to>
    <xdr:graphicFrame>
      <xdr:nvGraphicFramePr>
        <xdr:cNvPr id="8" name="Chart 8"/>
        <xdr:cNvGraphicFramePr/>
      </xdr:nvGraphicFramePr>
      <xdr:xfrm>
        <a:off x="4800600" y="3486150"/>
        <a:ext cx="4724400" cy="3933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104775</xdr:rowOff>
    </xdr:from>
    <xdr:to>
      <xdr:col>12</xdr:col>
      <xdr:colOff>533400</xdr:colOff>
      <xdr:row>8</xdr:row>
      <xdr:rowOff>47625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33375"/>
          <a:ext cx="893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2"/>
  <sheetViews>
    <sheetView zoomScale="75" zoomScaleNormal="75" workbookViewId="0" topLeftCell="A1">
      <selection activeCell="I8" sqref="I8"/>
    </sheetView>
  </sheetViews>
  <sheetFormatPr defaultColWidth="9.00390625" defaultRowHeight="13.5"/>
  <cols>
    <col min="2" max="2" width="9.875" style="0" customWidth="1"/>
    <col min="5" max="5" width="9.375" style="0" customWidth="1"/>
  </cols>
  <sheetData>
    <row r="1" ht="18.75">
      <c r="A1" s="18" t="s">
        <v>63</v>
      </c>
    </row>
    <row r="2" spans="2:4" ht="13.5">
      <c r="B2" s="1"/>
      <c r="D2" s="1"/>
    </row>
    <row r="3" spans="2:12" ht="13.5">
      <c r="B3" s="1"/>
      <c r="D3" s="1"/>
      <c r="L3" s="19" t="s">
        <v>66</v>
      </c>
    </row>
    <row r="4" spans="2:11" ht="13.5">
      <c r="B4" s="1"/>
      <c r="D4" s="1"/>
      <c r="K4" t="s">
        <v>10</v>
      </c>
    </row>
    <row r="5" spans="2:16" ht="13.5">
      <c r="B5" s="1"/>
      <c r="D5" s="1"/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</row>
    <row r="6" spans="2:16" ht="16.5">
      <c r="B6" s="1"/>
      <c r="D6" s="1"/>
      <c r="L6" s="22" t="s">
        <v>2</v>
      </c>
      <c r="M6" s="20">
        <v>0.045</v>
      </c>
      <c r="N6" s="20">
        <v>0.034</v>
      </c>
      <c r="O6" s="20">
        <v>0.078</v>
      </c>
      <c r="P6" s="20">
        <v>0.068</v>
      </c>
    </row>
    <row r="7" spans="2:16" ht="16.5">
      <c r="B7" s="7" t="s">
        <v>2</v>
      </c>
      <c r="C7" s="8">
        <f>E7/1000</f>
        <v>0.03</v>
      </c>
      <c r="D7" s="2"/>
      <c r="E7">
        <v>30</v>
      </c>
      <c r="L7" s="23" t="s">
        <v>3</v>
      </c>
      <c r="M7" s="20">
        <v>0.43</v>
      </c>
      <c r="N7" s="20">
        <v>0.46</v>
      </c>
      <c r="O7" s="20">
        <v>0.43</v>
      </c>
      <c r="P7" s="20">
        <v>0.38</v>
      </c>
    </row>
    <row r="8" spans="2:16" ht="16.5">
      <c r="B8" s="9" t="s">
        <v>3</v>
      </c>
      <c r="C8" s="10">
        <f>E8/1000</f>
        <v>0.437</v>
      </c>
      <c r="D8" s="2"/>
      <c r="E8">
        <v>437</v>
      </c>
      <c r="L8" s="22" t="s">
        <v>4</v>
      </c>
      <c r="M8" s="20">
        <v>0.145</v>
      </c>
      <c r="N8" s="20">
        <v>0.016</v>
      </c>
      <c r="O8" s="20">
        <v>0.036</v>
      </c>
      <c r="P8" s="20">
        <v>0.008</v>
      </c>
    </row>
    <row r="9" spans="2:16" ht="15">
      <c r="B9" s="11" t="s">
        <v>4</v>
      </c>
      <c r="C9" s="12">
        <f>E9/1000</f>
        <v>0.038</v>
      </c>
      <c r="D9" s="2"/>
      <c r="E9">
        <v>38</v>
      </c>
      <c r="L9" s="24" t="s">
        <v>0</v>
      </c>
      <c r="M9" s="20">
        <v>2.68</v>
      </c>
      <c r="N9" s="20">
        <v>1.37</v>
      </c>
      <c r="O9" s="20">
        <v>1.56</v>
      </c>
      <c r="P9" s="20">
        <v>1.09</v>
      </c>
    </row>
    <row r="10" spans="2:16" ht="15">
      <c r="B10" s="13" t="s">
        <v>0</v>
      </c>
      <c r="C10" s="14">
        <f>E10/100</f>
        <v>2.88</v>
      </c>
      <c r="D10" s="2"/>
      <c r="E10">
        <v>288</v>
      </c>
      <c r="L10" s="21" t="s">
        <v>16</v>
      </c>
      <c r="M10" s="20">
        <v>0.6269</v>
      </c>
      <c r="N10" s="20">
        <v>0.2701</v>
      </c>
      <c r="O10" s="20">
        <v>0.359</v>
      </c>
      <c r="P10" s="20">
        <v>0.0826</v>
      </c>
    </row>
    <row r="11" spans="2:16" ht="16.5" customHeight="1">
      <c r="B11" s="15" t="s">
        <v>1</v>
      </c>
      <c r="C11" s="12">
        <f>(E11-500)/100</f>
        <v>0.5</v>
      </c>
      <c r="D11" s="1"/>
      <c r="E11">
        <v>550</v>
      </c>
      <c r="L11" s="25" t="s">
        <v>1</v>
      </c>
      <c r="M11" s="20">
        <v>0.5</v>
      </c>
      <c r="N11" s="20">
        <v>0.5</v>
      </c>
      <c r="O11" s="20">
        <v>0.5</v>
      </c>
      <c r="P11" s="20">
        <v>0.5</v>
      </c>
    </row>
    <row r="12" spans="2:16" ht="16.5" customHeight="1">
      <c r="B12" s="16" t="s">
        <v>8</v>
      </c>
      <c r="C12" s="17">
        <f>E12</f>
        <v>1851</v>
      </c>
      <c r="D12" s="1"/>
      <c r="E12">
        <v>1851</v>
      </c>
      <c r="L12" s="26" t="s">
        <v>8</v>
      </c>
      <c r="M12" s="20">
        <v>712.8</v>
      </c>
      <c r="N12" s="20">
        <v>6</v>
      </c>
      <c r="O12" s="20">
        <v>24.96</v>
      </c>
      <c r="P12" s="20">
        <v>4.8</v>
      </c>
    </row>
    <row r="13" spans="2:4" ht="13.5">
      <c r="B13" s="1"/>
      <c r="D13" s="1"/>
    </row>
    <row r="40" spans="1:4" ht="16.5">
      <c r="A40" s="4" t="s">
        <v>6</v>
      </c>
      <c r="B40" s="5" t="s">
        <v>5</v>
      </c>
      <c r="C40" s="3" t="s">
        <v>7</v>
      </c>
      <c r="D40" s="5" t="s">
        <v>9</v>
      </c>
    </row>
    <row r="41" spans="1:4" ht="13.5">
      <c r="A41">
        <v>0</v>
      </c>
      <c r="B41">
        <f aca="true" t="shared" si="0" ref="B41:B72">(1+($C$9*$A41)^$C$10)^(-(1-1/$C$10))</f>
        <v>1</v>
      </c>
      <c r="C41">
        <f>B41*($C$8-$C$7)+$C$7</f>
        <v>0.43700000000000006</v>
      </c>
      <c r="D41" s="6">
        <f>$C$12*$B41^$C$11*(1-(1-$B41^((1-1/$C$10)^(-1)))^(1-1/$C$10))^2</f>
        <v>1851</v>
      </c>
    </row>
    <row r="42" spans="1:4" ht="13.5">
      <c r="A42">
        <v>1</v>
      </c>
      <c r="B42">
        <f t="shared" si="0"/>
        <v>0.9999469710578461</v>
      </c>
      <c r="C42">
        <f aca="true" t="shared" si="1" ref="C42:C92">B42*($C$8-$C$7)+$C$7</f>
        <v>0.4369784172205434</v>
      </c>
      <c r="D42" s="6">
        <f aca="true" t="shared" si="2" ref="D42:D72">$C$12*$B42^$C$11*(1-(1-$B42^((1-1/$C$10)^(-1)))^(1-1/$C$10))^2</f>
        <v>1843.0453988929514</v>
      </c>
    </row>
    <row r="43" spans="1:4" ht="13.5">
      <c r="A43">
        <f>A42*1.2</f>
        <v>1.2</v>
      </c>
      <c r="B43">
        <f t="shared" si="0"/>
        <v>0.9999103531945189</v>
      </c>
      <c r="C43">
        <f t="shared" si="1"/>
        <v>0.4369635137501693</v>
      </c>
      <c r="D43" s="6">
        <f t="shared" si="2"/>
        <v>1839.7849213781356</v>
      </c>
    </row>
    <row r="44" spans="1:4" ht="13.5">
      <c r="A44">
        <f aca="true" t="shared" si="3" ref="A44:A82">A43*1.2</f>
        <v>1.44</v>
      </c>
      <c r="B44">
        <f t="shared" si="0"/>
        <v>0.9998484545956885</v>
      </c>
      <c r="C44">
        <f t="shared" si="1"/>
        <v>0.4369383210204453</v>
      </c>
      <c r="D44" s="6">
        <f t="shared" si="2"/>
        <v>1835.1875364381208</v>
      </c>
    </row>
    <row r="45" spans="1:4" ht="13.5">
      <c r="A45">
        <f t="shared" si="3"/>
        <v>1.728</v>
      </c>
      <c r="B45">
        <f t="shared" si="0"/>
        <v>0.9997438306156922</v>
      </c>
      <c r="C45">
        <f t="shared" si="1"/>
        <v>0.43689573906058676</v>
      </c>
      <c r="D45" s="6">
        <f t="shared" si="2"/>
        <v>1828.7059668447262</v>
      </c>
    </row>
    <row r="46" spans="1:4" ht="13.5">
      <c r="A46">
        <f t="shared" si="3"/>
        <v>2.0736</v>
      </c>
      <c r="B46">
        <f t="shared" si="0"/>
        <v>0.999567015884412</v>
      </c>
      <c r="C46">
        <f t="shared" si="1"/>
        <v>0.43682377546495565</v>
      </c>
      <c r="D46" s="6">
        <f t="shared" si="2"/>
        <v>1819.5708961694309</v>
      </c>
    </row>
    <row r="47" spans="1:4" ht="13.5">
      <c r="A47">
        <f t="shared" si="3"/>
        <v>2.48832</v>
      </c>
      <c r="B47">
        <f t="shared" si="0"/>
        <v>0.9992682721248848</v>
      </c>
      <c r="C47">
        <f t="shared" si="1"/>
        <v>0.4367021867548281</v>
      </c>
      <c r="D47" s="6">
        <f t="shared" si="2"/>
        <v>1806.7038296971132</v>
      </c>
    </row>
    <row r="48" spans="1:4" ht="13.5">
      <c r="A48">
        <f t="shared" si="3"/>
        <v>2.9859839999999997</v>
      </c>
      <c r="B48">
        <f t="shared" si="0"/>
        <v>0.9987637283971714</v>
      </c>
      <c r="C48">
        <f t="shared" si="1"/>
        <v>0.4364968374576488</v>
      </c>
      <c r="D48" s="6">
        <f t="shared" si="2"/>
        <v>1788.5996509085035</v>
      </c>
    </row>
    <row r="49" spans="1:4" ht="13.5">
      <c r="A49">
        <f t="shared" si="3"/>
        <v>3.5831807999999996</v>
      </c>
      <c r="B49">
        <f t="shared" si="0"/>
        <v>0.9979122097259484</v>
      </c>
      <c r="C49">
        <f t="shared" si="1"/>
        <v>0.436150269358461</v>
      </c>
      <c r="D49" s="6">
        <f t="shared" si="2"/>
        <v>1763.1733804385435</v>
      </c>
    </row>
    <row r="50" spans="1:4" ht="13.5">
      <c r="A50">
        <f t="shared" si="3"/>
        <v>4.299816959999999</v>
      </c>
      <c r="B50">
        <f t="shared" si="0"/>
        <v>0.9964768003392295</v>
      </c>
      <c r="C50">
        <f t="shared" si="1"/>
        <v>0.43556605773806645</v>
      </c>
      <c r="D50" s="6">
        <f t="shared" si="2"/>
        <v>1727.5717612215751</v>
      </c>
    </row>
    <row r="51" spans="1:4" ht="13.5">
      <c r="A51">
        <f t="shared" si="3"/>
        <v>5.159780351999999</v>
      </c>
      <c r="B51">
        <f t="shared" si="0"/>
        <v>0.994061938585895</v>
      </c>
      <c r="C51">
        <f t="shared" si="1"/>
        <v>0.43458320900445924</v>
      </c>
      <c r="D51" s="6">
        <f t="shared" si="2"/>
        <v>1677.9683057461093</v>
      </c>
    </row>
    <row r="52" spans="1:4" ht="13.5">
      <c r="A52">
        <f t="shared" si="3"/>
        <v>6.191736422399999</v>
      </c>
      <c r="B52">
        <f t="shared" si="0"/>
        <v>0.9900128623464914</v>
      </c>
      <c r="C52">
        <f t="shared" si="1"/>
        <v>0.43293523497502207</v>
      </c>
      <c r="D52" s="6">
        <f t="shared" si="2"/>
        <v>1609.4041081843238</v>
      </c>
    </row>
    <row r="53" spans="1:4" ht="13.5">
      <c r="A53">
        <f t="shared" si="3"/>
        <v>7.430083706879999</v>
      </c>
      <c r="B53">
        <f t="shared" si="0"/>
        <v>0.9832615066592134</v>
      </c>
      <c r="C53">
        <f t="shared" si="1"/>
        <v>0.43018743321029984</v>
      </c>
      <c r="D53" s="6">
        <f t="shared" si="2"/>
        <v>1515.8295473023816</v>
      </c>
    </row>
    <row r="54" spans="1:4" ht="13.5">
      <c r="A54">
        <f t="shared" si="3"/>
        <v>8.916100448255998</v>
      </c>
      <c r="B54">
        <f t="shared" si="0"/>
        <v>0.972108376351036</v>
      </c>
      <c r="C54">
        <f t="shared" si="1"/>
        <v>0.4256481091748716</v>
      </c>
      <c r="D54" s="6">
        <f t="shared" si="2"/>
        <v>1390.6710878735655</v>
      </c>
    </row>
    <row r="55" spans="1:4" ht="13.5">
      <c r="A55">
        <f t="shared" si="3"/>
        <v>10.699320537907196</v>
      </c>
      <c r="B55">
        <f t="shared" si="0"/>
        <v>0.9539615402454134</v>
      </c>
      <c r="C55">
        <f t="shared" si="1"/>
        <v>0.4182623468798833</v>
      </c>
      <c r="D55" s="6">
        <f t="shared" si="2"/>
        <v>1228.4775072670884</v>
      </c>
    </row>
    <row r="56" spans="1:4" ht="13.5">
      <c r="A56">
        <f t="shared" si="3"/>
        <v>12.839184645488634</v>
      </c>
      <c r="B56">
        <f t="shared" si="0"/>
        <v>0.9251473914583087</v>
      </c>
      <c r="C56">
        <f t="shared" si="1"/>
        <v>0.40653498832353163</v>
      </c>
      <c r="D56" s="6">
        <f t="shared" si="2"/>
        <v>1028.2808633268376</v>
      </c>
    </row>
    <row r="57" spans="1:4" ht="13.5">
      <c r="A57">
        <f t="shared" si="3"/>
        <v>15.407021574586361</v>
      </c>
      <c r="B57">
        <f t="shared" si="0"/>
        <v>0.8810990635957854</v>
      </c>
      <c r="C57">
        <f t="shared" si="1"/>
        <v>0.38860731888348465</v>
      </c>
      <c r="D57" s="6">
        <f t="shared" si="2"/>
        <v>798.5620524157032</v>
      </c>
    </row>
    <row r="58" spans="1:4" ht="13.5">
      <c r="A58">
        <f t="shared" si="3"/>
        <v>18.48842588950363</v>
      </c>
      <c r="B58">
        <f t="shared" si="0"/>
        <v>0.8174425963258011</v>
      </c>
      <c r="C58">
        <f t="shared" si="1"/>
        <v>0.3626991367046011</v>
      </c>
      <c r="D58" s="6">
        <f t="shared" si="2"/>
        <v>561.150190052769</v>
      </c>
    </row>
    <row r="59" spans="1:4" ht="13.5">
      <c r="A59">
        <f t="shared" si="3"/>
        <v>22.186111067404358</v>
      </c>
      <c r="B59">
        <f t="shared" si="0"/>
        <v>0.7323207630138521</v>
      </c>
      <c r="C59">
        <f t="shared" si="1"/>
        <v>0.3280545505466378</v>
      </c>
      <c r="D59" s="6">
        <f t="shared" si="2"/>
        <v>347.99720240595076</v>
      </c>
    </row>
    <row r="60" spans="1:4" ht="13.5">
      <c r="A60">
        <f t="shared" si="3"/>
        <v>26.62333328088523</v>
      </c>
      <c r="B60">
        <f t="shared" si="0"/>
        <v>0.6290879492995967</v>
      </c>
      <c r="C60">
        <f t="shared" si="1"/>
        <v>0.2860387953649358</v>
      </c>
      <c r="D60" s="6">
        <f t="shared" si="2"/>
        <v>187.1309601143892</v>
      </c>
    </row>
    <row r="61" spans="1:4" ht="13.5">
      <c r="A61">
        <f t="shared" si="3"/>
        <v>31.947999937062274</v>
      </c>
      <c r="B61">
        <f t="shared" si="0"/>
        <v>0.5168992304609379</v>
      </c>
      <c r="C61">
        <f t="shared" si="1"/>
        <v>0.24037798679760172</v>
      </c>
      <c r="D61" s="6">
        <f t="shared" si="2"/>
        <v>87.00433873580569</v>
      </c>
    </row>
    <row r="62" spans="1:4" ht="13.5">
      <c r="A62">
        <f>A61*1.2</f>
        <v>38.33759992447473</v>
      </c>
      <c r="B62">
        <f t="shared" si="0"/>
        <v>0.40753718768902225</v>
      </c>
      <c r="C62">
        <f t="shared" si="1"/>
        <v>0.19586763538943205</v>
      </c>
      <c r="D62" s="6">
        <f t="shared" si="2"/>
        <v>35.46716469418287</v>
      </c>
    </row>
    <row r="63" spans="1:4" ht="13.5">
      <c r="A63">
        <f t="shared" si="3"/>
        <v>46.005119909369675</v>
      </c>
      <c r="B63">
        <f t="shared" si="0"/>
        <v>0.31060581922249303</v>
      </c>
      <c r="C63">
        <f t="shared" si="1"/>
        <v>0.15641656842355467</v>
      </c>
      <c r="D63" s="6">
        <f t="shared" si="2"/>
        <v>13.004062020970824</v>
      </c>
    </row>
    <row r="64" spans="1:4" ht="13.5">
      <c r="A64">
        <f t="shared" si="3"/>
        <v>55.206143891243606</v>
      </c>
      <c r="B64">
        <f t="shared" si="0"/>
        <v>0.2308612084429051</v>
      </c>
      <c r="C64">
        <f t="shared" si="1"/>
        <v>0.12396051183626239</v>
      </c>
      <c r="D64" s="6">
        <f t="shared" si="2"/>
        <v>4.412050501566822</v>
      </c>
    </row>
    <row r="65" spans="1:4" ht="13.5">
      <c r="A65">
        <f t="shared" si="3"/>
        <v>66.24737266949232</v>
      </c>
      <c r="B65">
        <f t="shared" si="0"/>
        <v>0.16866379624078637</v>
      </c>
      <c r="C65">
        <f t="shared" si="1"/>
        <v>0.09864616507000006</v>
      </c>
      <c r="D65" s="6">
        <f t="shared" si="2"/>
        <v>1.4199918312542683</v>
      </c>
    </row>
    <row r="66" spans="1:4" ht="13.5">
      <c r="A66">
        <f t="shared" si="3"/>
        <v>79.49684720339079</v>
      </c>
      <c r="B66">
        <f t="shared" si="0"/>
        <v>0.12185492061496907</v>
      </c>
      <c r="C66">
        <f t="shared" si="1"/>
        <v>0.0795949526902924</v>
      </c>
      <c r="D66" s="6">
        <f t="shared" si="2"/>
        <v>0.44169595437731574</v>
      </c>
    </row>
    <row r="67" spans="1:4" ht="13.5">
      <c r="A67">
        <f t="shared" si="3"/>
        <v>95.39621664406894</v>
      </c>
      <c r="B67">
        <f t="shared" si="0"/>
        <v>0.08742309594945462</v>
      </c>
      <c r="C67">
        <f t="shared" si="1"/>
        <v>0.06558120005142803</v>
      </c>
      <c r="D67" s="6">
        <f t="shared" si="2"/>
        <v>0.13449646954507766</v>
      </c>
    </row>
    <row r="68" spans="1:4" ht="13.5">
      <c r="A68">
        <f t="shared" si="3"/>
        <v>114.47545997288273</v>
      </c>
      <c r="B68">
        <f t="shared" si="0"/>
        <v>0.06245231434065123</v>
      </c>
      <c r="C68">
        <f t="shared" si="1"/>
        <v>0.055418091936645056</v>
      </c>
      <c r="D68" s="6">
        <f t="shared" si="2"/>
        <v>0.04042430098921429</v>
      </c>
    </row>
    <row r="69" spans="1:4" ht="13.5">
      <c r="A69">
        <f t="shared" si="3"/>
        <v>137.37055196745928</v>
      </c>
      <c r="B69">
        <f t="shared" si="0"/>
        <v>0.04449866289673462</v>
      </c>
      <c r="C69">
        <f t="shared" si="1"/>
        <v>0.04811095579897099</v>
      </c>
      <c r="D69" s="6">
        <f t="shared" si="2"/>
        <v>0.012054838875925145</v>
      </c>
    </row>
    <row r="70" spans="1:4" ht="13.5">
      <c r="A70">
        <f t="shared" si="3"/>
        <v>164.84466236095113</v>
      </c>
      <c r="B70">
        <f t="shared" si="0"/>
        <v>0.031657179125679585</v>
      </c>
      <c r="C70">
        <f t="shared" si="1"/>
        <v>0.042884471904151594</v>
      </c>
      <c r="D70" s="6">
        <f t="shared" si="2"/>
        <v>0.0035779765966954097</v>
      </c>
    </row>
    <row r="71" spans="1:4" ht="13.5">
      <c r="A71">
        <f t="shared" si="3"/>
        <v>197.81359483314137</v>
      </c>
      <c r="B71">
        <f t="shared" si="0"/>
        <v>0.02250071451869711</v>
      </c>
      <c r="C71">
        <f t="shared" si="1"/>
        <v>0.03915779080910972</v>
      </c>
      <c r="D71" s="6">
        <f t="shared" si="2"/>
        <v>0.0010590017372750908</v>
      </c>
    </row>
    <row r="72" spans="1:4" ht="13.5">
      <c r="A72">
        <f t="shared" si="3"/>
        <v>237.37631379976963</v>
      </c>
      <c r="B72">
        <f t="shared" si="0"/>
        <v>0.015983874841703893</v>
      </c>
      <c r="C72">
        <f t="shared" si="1"/>
        <v>0.036505437060573485</v>
      </c>
      <c r="D72" s="6">
        <f t="shared" si="2"/>
        <v>0.0003129197780772845</v>
      </c>
    </row>
    <row r="73" spans="1:4" ht="13.5">
      <c r="A73">
        <f>A72*1.2</f>
        <v>284.8515765597235</v>
      </c>
      <c r="B73">
        <f aca="true" t="shared" si="4" ref="B73:B92">(1+($C$9*$A73)^$C$10)^(-(1-1/$C$10))</f>
        <v>0.011350800363882396</v>
      </c>
      <c r="C73">
        <f t="shared" si="1"/>
        <v>0.034619775748100136</v>
      </c>
      <c r="D73" s="6">
        <f aca="true" t="shared" si="5" ref="D73:D92">$C$12*$B73^$C$11*(1-(1-$B73^((1-1/$C$10)^(-1)))^(1-1/$C$10))^2</f>
        <v>9.237208113081505E-05</v>
      </c>
    </row>
    <row r="74" spans="1:4" ht="13.5">
      <c r="A74">
        <f t="shared" si="3"/>
        <v>341.82189187166824</v>
      </c>
      <c r="B74">
        <f t="shared" si="4"/>
        <v>0.008059111502191421</v>
      </c>
      <c r="C74">
        <f t="shared" si="1"/>
        <v>0.033280058381391905</v>
      </c>
      <c r="D74" s="6">
        <f t="shared" si="5"/>
        <v>2.7251758695140787E-05</v>
      </c>
    </row>
    <row r="75" spans="1:4" ht="13.5">
      <c r="A75">
        <f t="shared" si="3"/>
        <v>410.18627024600187</v>
      </c>
      <c r="B75">
        <f t="shared" si="4"/>
        <v>0.00572134672763678</v>
      </c>
      <c r="C75">
        <f t="shared" si="1"/>
        <v>0.03232858811814817</v>
      </c>
      <c r="D75" s="6">
        <f t="shared" si="5"/>
        <v>8.037075020405208E-06</v>
      </c>
    </row>
    <row r="76" spans="1:4" ht="13.5">
      <c r="A76">
        <f t="shared" si="3"/>
        <v>492.2235242952022</v>
      </c>
      <c r="B76">
        <f t="shared" si="4"/>
        <v>0.004061439900062149</v>
      </c>
      <c r="C76">
        <f t="shared" si="1"/>
        <v>0.03165300603932529</v>
      </c>
      <c r="D76" s="6">
        <f t="shared" si="5"/>
        <v>2.3698046609716287E-06</v>
      </c>
    </row>
    <row r="77" spans="1:4" ht="13.5">
      <c r="A77">
        <f t="shared" si="3"/>
        <v>590.6682291542426</v>
      </c>
      <c r="B77">
        <f t="shared" si="4"/>
        <v>0.0028829986155638936</v>
      </c>
      <c r="C77">
        <f t="shared" si="1"/>
        <v>0.031173380436534504</v>
      </c>
      <c r="D77" s="6">
        <f t="shared" si="5"/>
        <v>6.986737715231935E-07</v>
      </c>
    </row>
    <row r="78" spans="1:4" ht="13.5">
      <c r="A78">
        <f t="shared" si="3"/>
        <v>708.8018749850911</v>
      </c>
      <c r="B78">
        <f t="shared" si="4"/>
        <v>0.002046437879096913</v>
      </c>
      <c r="C78">
        <f t="shared" si="1"/>
        <v>0.03083290021679244</v>
      </c>
      <c r="D78" s="6">
        <f t="shared" si="5"/>
        <v>2.0597057922483578E-07</v>
      </c>
    </row>
    <row r="79" spans="1:4" ht="13.5">
      <c r="A79">
        <f t="shared" si="3"/>
        <v>850.5622499821093</v>
      </c>
      <c r="B79">
        <f t="shared" si="4"/>
        <v>0.0014526019475884834</v>
      </c>
      <c r="C79">
        <f t="shared" si="1"/>
        <v>0.03059120899266851</v>
      </c>
      <c r="D79" s="6">
        <f t="shared" si="5"/>
        <v>6.071800855445802E-08</v>
      </c>
    </row>
    <row r="80" spans="1:4" ht="13.5">
      <c r="A80">
        <f t="shared" si="3"/>
        <v>1020.6746999785311</v>
      </c>
      <c r="B80">
        <f t="shared" si="4"/>
        <v>0.0010310769642189496</v>
      </c>
      <c r="C80">
        <f t="shared" si="1"/>
        <v>0.030419648324437113</v>
      </c>
      <c r="D80" s="6">
        <f t="shared" si="5"/>
        <v>1.789859538737909E-08</v>
      </c>
    </row>
    <row r="81" spans="1:4" ht="13.5">
      <c r="A81">
        <f t="shared" si="3"/>
        <v>1224.8096399742371</v>
      </c>
      <c r="B81">
        <f t="shared" si="4"/>
        <v>0.0007318691149786822</v>
      </c>
      <c r="C81">
        <f t="shared" si="1"/>
        <v>0.03029787072979632</v>
      </c>
      <c r="D81" s="6">
        <f t="shared" si="5"/>
        <v>5.2761111506358854E-09</v>
      </c>
    </row>
    <row r="82" spans="1:4" ht="13.5">
      <c r="A82">
        <f t="shared" si="3"/>
        <v>1469.7715679690846</v>
      </c>
      <c r="B82">
        <f t="shared" si="4"/>
        <v>0.000519486778408082</v>
      </c>
      <c r="C82">
        <f t="shared" si="1"/>
        <v>0.03021143111881209</v>
      </c>
      <c r="D82" s="6">
        <f t="shared" si="5"/>
        <v>1.5552675432951246E-09</v>
      </c>
    </row>
    <row r="83" spans="1:4" ht="13.5">
      <c r="A83">
        <f aca="true" t="shared" si="6" ref="A83:A92">A82*1.2</f>
        <v>1763.7258815629013</v>
      </c>
      <c r="B83">
        <f t="shared" si="4"/>
        <v>0.0003687353997860846</v>
      </c>
      <c r="C83">
        <f t="shared" si="1"/>
        <v>0.030150075307712937</v>
      </c>
      <c r="D83" s="6">
        <f t="shared" si="5"/>
        <v>4.5845216307903214E-10</v>
      </c>
    </row>
    <row r="84" spans="1:4" ht="13.5">
      <c r="A84">
        <f t="shared" si="6"/>
        <v>2116.4710578754816</v>
      </c>
      <c r="B84">
        <f t="shared" si="4"/>
        <v>0.0002617307368569382</v>
      </c>
      <c r="C84">
        <f t="shared" si="1"/>
        <v>0.030106524409900772</v>
      </c>
      <c r="D84" s="6">
        <f t="shared" si="5"/>
        <v>1.351392826897852E-10</v>
      </c>
    </row>
    <row r="85" spans="1:4" ht="13.5">
      <c r="A85">
        <f t="shared" si="6"/>
        <v>2539.7652694505778</v>
      </c>
      <c r="B85">
        <f t="shared" si="4"/>
        <v>0.0001857780337936613</v>
      </c>
      <c r="C85">
        <f t="shared" si="1"/>
        <v>0.030075611659754017</v>
      </c>
      <c r="D85" s="6">
        <f t="shared" si="5"/>
        <v>3.983532855569563E-11</v>
      </c>
    </row>
    <row r="86" spans="1:4" ht="13.5">
      <c r="A86">
        <f t="shared" si="6"/>
        <v>3047.718323340693</v>
      </c>
      <c r="B86">
        <f t="shared" si="4"/>
        <v>0.0001318663066485497</v>
      </c>
      <c r="C86">
        <f t="shared" si="1"/>
        <v>0.03005366958680596</v>
      </c>
      <c r="D86" s="6">
        <f t="shared" si="5"/>
        <v>1.1742342152860657E-11</v>
      </c>
    </row>
    <row r="87" spans="1:4" ht="13.5">
      <c r="A87">
        <f t="shared" si="6"/>
        <v>3657.261988008832</v>
      </c>
      <c r="B87">
        <f t="shared" si="4"/>
        <v>9.359943599348263E-05</v>
      </c>
      <c r="C87">
        <f t="shared" si="1"/>
        <v>0.030038094970449347</v>
      </c>
      <c r="D87" s="6">
        <f t="shared" si="5"/>
        <v>3.4613122718087287E-12</v>
      </c>
    </row>
    <row r="88" spans="1:4" ht="13.5">
      <c r="A88">
        <f t="shared" si="6"/>
        <v>4388.714385610598</v>
      </c>
      <c r="B88">
        <f t="shared" si="4"/>
        <v>6.643739067529806E-05</v>
      </c>
      <c r="C88">
        <f t="shared" si="1"/>
        <v>0.030027040018004846</v>
      </c>
      <c r="D88" s="6">
        <f t="shared" si="5"/>
        <v>1.0202971424014589E-12</v>
      </c>
    </row>
    <row r="89" spans="1:4" ht="13.5">
      <c r="A89">
        <f t="shared" si="6"/>
        <v>5266.457262732717</v>
      </c>
      <c r="B89">
        <f t="shared" si="4"/>
        <v>4.715761915737774E-05</v>
      </c>
      <c r="C89">
        <f t="shared" si="1"/>
        <v>0.03001919315099705</v>
      </c>
      <c r="D89" s="6">
        <f t="shared" si="5"/>
        <v>3.0075472684554497E-13</v>
      </c>
    </row>
    <row r="90" spans="1:4" ht="13.5">
      <c r="A90">
        <f t="shared" si="6"/>
        <v>6319.74871527926</v>
      </c>
      <c r="B90">
        <f t="shared" si="4"/>
        <v>3.347273162727235E-05</v>
      </c>
      <c r="C90">
        <f t="shared" si="1"/>
        <v>0.0300136234017723</v>
      </c>
      <c r="D90" s="6">
        <f t="shared" si="5"/>
        <v>8.865397132865344E-14</v>
      </c>
    </row>
    <row r="91" spans="1:4" ht="13.5">
      <c r="A91">
        <f t="shared" si="6"/>
        <v>7583.698458335111</v>
      </c>
      <c r="B91">
        <f t="shared" si="4"/>
        <v>2.3759124269895065E-05</v>
      </c>
      <c r="C91">
        <f t="shared" si="1"/>
        <v>0.030009669963577845</v>
      </c>
      <c r="D91" s="6">
        <f t="shared" si="5"/>
        <v>2.6132676714446216E-14</v>
      </c>
    </row>
    <row r="92" spans="1:4" ht="13.5">
      <c r="A92">
        <f t="shared" si="6"/>
        <v>9100.438150002134</v>
      </c>
      <c r="B92">
        <f t="shared" si="4"/>
        <v>1.6864353462023258E-05</v>
      </c>
      <c r="C92">
        <f t="shared" si="1"/>
        <v>0.030006863791859042</v>
      </c>
      <c r="D92" s="6">
        <f t="shared" si="5"/>
        <v>7.703171674053904E-15</v>
      </c>
    </row>
  </sheetData>
  <conditionalFormatting sqref="E7">
    <cfRule type="cellIs" priority="1" dxfId="0" operator="greaterThanOrEqual" stopIfTrue="1">
      <formula>$E$8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P92"/>
  <sheetViews>
    <sheetView zoomScale="75" zoomScaleNormal="75" workbookViewId="0" topLeftCell="A1">
      <selection activeCell="I10" sqref="I10"/>
    </sheetView>
  </sheetViews>
  <sheetFormatPr defaultColWidth="9.00390625" defaultRowHeight="13.5"/>
  <cols>
    <col min="2" max="2" width="9.875" style="0" customWidth="1"/>
    <col min="5" max="5" width="9.375" style="0" customWidth="1"/>
  </cols>
  <sheetData>
    <row r="1" ht="18.75">
      <c r="A1" s="18" t="s">
        <v>64</v>
      </c>
    </row>
    <row r="2" spans="2:4" ht="13.5">
      <c r="B2" s="1"/>
      <c r="D2" s="1"/>
    </row>
    <row r="3" spans="2:12" ht="13.5">
      <c r="B3" s="1"/>
      <c r="D3" s="1"/>
      <c r="L3" s="19" t="s">
        <v>66</v>
      </c>
    </row>
    <row r="4" spans="2:11" ht="13.5">
      <c r="B4" s="1"/>
      <c r="D4" s="1"/>
      <c r="K4" t="s">
        <v>10</v>
      </c>
    </row>
    <row r="5" spans="2:16" ht="13.5">
      <c r="B5" s="1"/>
      <c r="D5" s="1"/>
      <c r="L5" s="20" t="s">
        <v>11</v>
      </c>
      <c r="M5" s="20" t="s">
        <v>43</v>
      </c>
      <c r="N5" s="20" t="s">
        <v>44</v>
      </c>
      <c r="O5" s="20" t="s">
        <v>45</v>
      </c>
      <c r="P5" s="20" t="s">
        <v>46</v>
      </c>
    </row>
    <row r="6" spans="2:16" ht="16.5">
      <c r="B6" s="1"/>
      <c r="D6" s="1"/>
      <c r="L6" s="22" t="s">
        <v>2</v>
      </c>
      <c r="M6" s="20">
        <v>0.045</v>
      </c>
      <c r="N6" s="20">
        <v>0.034</v>
      </c>
      <c r="O6" s="20">
        <v>0.078</v>
      </c>
      <c r="P6" s="20">
        <v>0.068</v>
      </c>
    </row>
    <row r="7" spans="2:16" ht="16.5">
      <c r="B7" s="7" t="s">
        <v>2</v>
      </c>
      <c r="C7" s="8">
        <f>E7/1000</f>
        <v>0.033</v>
      </c>
      <c r="D7" s="2"/>
      <c r="E7">
        <v>33</v>
      </c>
      <c r="L7" s="23" t="s">
        <v>3</v>
      </c>
      <c r="M7" s="20">
        <v>0.43</v>
      </c>
      <c r="N7" s="20">
        <v>0.46</v>
      </c>
      <c r="O7" s="20">
        <v>0.43</v>
      </c>
      <c r="P7" s="20">
        <v>0.38</v>
      </c>
    </row>
    <row r="8" spans="2:16" ht="16.5">
      <c r="B8" s="9" t="s">
        <v>3</v>
      </c>
      <c r="C8" s="10">
        <f>E8/1000</f>
        <v>0.607</v>
      </c>
      <c r="D8" s="2"/>
      <c r="E8">
        <v>607</v>
      </c>
      <c r="L8" s="22" t="s">
        <v>4</v>
      </c>
      <c r="M8" s="20">
        <v>0.145</v>
      </c>
      <c r="N8" s="20">
        <v>0.016</v>
      </c>
      <c r="O8" s="20">
        <v>0.036</v>
      </c>
      <c r="P8" s="20">
        <v>0.008</v>
      </c>
    </row>
    <row r="9" spans="2:16" ht="15">
      <c r="B9" s="11" t="s">
        <v>4</v>
      </c>
      <c r="C9" s="12">
        <f>E9/1000</f>
        <v>0.15</v>
      </c>
      <c r="D9" s="2"/>
      <c r="E9">
        <v>150</v>
      </c>
      <c r="L9" s="24" t="s">
        <v>0</v>
      </c>
      <c r="M9" s="20">
        <v>2.68</v>
      </c>
      <c r="N9" s="20">
        <v>1.37</v>
      </c>
      <c r="O9" s="20">
        <v>1.56</v>
      </c>
      <c r="P9" s="20">
        <v>1.09</v>
      </c>
    </row>
    <row r="10" spans="2:16" ht="15">
      <c r="B10" s="13" t="s">
        <v>0</v>
      </c>
      <c r="C10" s="14">
        <f>E10/100</f>
        <v>5</v>
      </c>
      <c r="D10" s="2"/>
      <c r="E10">
        <v>500</v>
      </c>
      <c r="L10" s="25" t="s">
        <v>62</v>
      </c>
      <c r="M10" s="20">
        <v>0.6269</v>
      </c>
      <c r="N10" s="20">
        <v>0.2701</v>
      </c>
      <c r="O10" s="20">
        <v>0.359</v>
      </c>
      <c r="P10" s="20">
        <v>0.0826</v>
      </c>
    </row>
    <row r="11" spans="2:16" ht="16.5" customHeight="1">
      <c r="B11" s="15" t="s">
        <v>1</v>
      </c>
      <c r="C11" s="12">
        <f>(E11-500)/100</f>
        <v>0</v>
      </c>
      <c r="D11" s="1"/>
      <c r="E11">
        <v>500</v>
      </c>
      <c r="L11" s="25" t="s">
        <v>1</v>
      </c>
      <c r="M11" s="20">
        <v>0.5</v>
      </c>
      <c r="N11" s="20">
        <v>0.5</v>
      </c>
      <c r="O11" s="20">
        <v>0.5</v>
      </c>
      <c r="P11" s="20">
        <v>0.5</v>
      </c>
    </row>
    <row r="12" spans="2:16" ht="16.5" customHeight="1">
      <c r="B12" s="32" t="s">
        <v>8</v>
      </c>
      <c r="C12" s="33">
        <f>E12</f>
        <v>707</v>
      </c>
      <c r="D12" s="1"/>
      <c r="E12">
        <v>707</v>
      </c>
      <c r="L12" s="26" t="s">
        <v>8</v>
      </c>
      <c r="M12" s="20">
        <v>712.8</v>
      </c>
      <c r="N12" s="20">
        <v>6</v>
      </c>
      <c r="O12" s="20">
        <v>24.96</v>
      </c>
      <c r="P12" s="20">
        <v>4.8</v>
      </c>
    </row>
    <row r="13" spans="2:5" ht="16.5" customHeight="1">
      <c r="B13" s="34" t="s">
        <v>47</v>
      </c>
      <c r="C13" s="35">
        <f>E13/100</f>
        <v>0.41</v>
      </c>
      <c r="D13" s="1"/>
      <c r="E13">
        <v>41</v>
      </c>
    </row>
    <row r="40" spans="1:4" ht="16.5">
      <c r="A40" s="4" t="s">
        <v>48</v>
      </c>
      <c r="B40" s="5" t="s">
        <v>5</v>
      </c>
      <c r="C40" s="3" t="s">
        <v>49</v>
      </c>
      <c r="D40" s="5" t="s">
        <v>9</v>
      </c>
    </row>
    <row r="41" spans="1:4" ht="13.5">
      <c r="A41">
        <v>0</v>
      </c>
      <c r="B41">
        <f aca="true" t="shared" si="0" ref="B41:B72">(1+($C$9*$A41)^$C$10)^(-$C$13)</f>
        <v>1</v>
      </c>
      <c r="C41">
        <f aca="true" t="shared" si="1" ref="C41:C72">B41*($C$8-$C$7)+$C$7</f>
        <v>0.607</v>
      </c>
      <c r="D41" s="6">
        <f aca="true" t="shared" si="2" ref="D41:D72">$C$12*$B41^$C$11*(1-(1-$B41^((1-1/$C$10)^(-1)))^(1-1/$C$10))^2</f>
        <v>707</v>
      </c>
    </row>
    <row r="42" spans="1:4" ht="13.5">
      <c r="A42">
        <v>1</v>
      </c>
      <c r="B42">
        <f t="shared" si="0"/>
        <v>0.9999688672917063</v>
      </c>
      <c r="C42">
        <f t="shared" si="1"/>
        <v>0.6069821298254394</v>
      </c>
      <c r="D42" s="6">
        <f t="shared" si="2"/>
        <v>706.5807383013079</v>
      </c>
    </row>
    <row r="43" spans="1:4" ht="13.5">
      <c r="A43">
        <f aca="true" t="shared" si="3" ref="A43:A74">A42*1.2</f>
        <v>1.2</v>
      </c>
      <c r="B43">
        <f t="shared" si="0"/>
        <v>0.9999225380308693</v>
      </c>
      <c r="C43">
        <f t="shared" si="1"/>
        <v>0.6069555368297189</v>
      </c>
      <c r="D43" s="6">
        <f t="shared" si="2"/>
        <v>706.1308167662849</v>
      </c>
    </row>
    <row r="44" spans="1:4" ht="13.5">
      <c r="A44">
        <f t="shared" si="3"/>
        <v>1.44</v>
      </c>
      <c r="B44">
        <f t="shared" si="0"/>
        <v>0.9998072880336134</v>
      </c>
      <c r="C44">
        <f t="shared" si="1"/>
        <v>0.606889383331294</v>
      </c>
      <c r="D44" s="6">
        <f t="shared" si="2"/>
        <v>705.1985629697757</v>
      </c>
    </row>
    <row r="45" spans="1:4" ht="13.5">
      <c r="A45">
        <f t="shared" si="3"/>
        <v>1.728</v>
      </c>
      <c r="B45">
        <f t="shared" si="0"/>
        <v>0.9995207073018899</v>
      </c>
      <c r="C45">
        <f t="shared" si="1"/>
        <v>0.6067248859912848</v>
      </c>
      <c r="D45" s="6">
        <f t="shared" si="2"/>
        <v>703.2686748411458</v>
      </c>
    </row>
    <row r="46" spans="1:4" ht="13.5">
      <c r="A46">
        <f t="shared" si="3"/>
        <v>2.0736</v>
      </c>
      <c r="B46">
        <f t="shared" si="0"/>
        <v>0.9988088268990317</v>
      </c>
      <c r="C46">
        <f t="shared" si="1"/>
        <v>0.6063162666400442</v>
      </c>
      <c r="D46" s="6">
        <f t="shared" si="2"/>
        <v>699.2818109765395</v>
      </c>
    </row>
    <row r="47" spans="1:4" ht="13.5">
      <c r="A47">
        <f t="shared" si="3"/>
        <v>2.48832</v>
      </c>
      <c r="B47">
        <f t="shared" si="0"/>
        <v>0.997044979368149</v>
      </c>
      <c r="C47">
        <f t="shared" si="1"/>
        <v>0.6053038181573175</v>
      </c>
      <c r="D47" s="6">
        <f t="shared" si="2"/>
        <v>691.0840604173146</v>
      </c>
    </row>
    <row r="48" spans="1:4" ht="13.5">
      <c r="A48">
        <f t="shared" si="3"/>
        <v>2.9859839999999997</v>
      </c>
      <c r="B48">
        <f t="shared" si="0"/>
        <v>0.9927020178537066</v>
      </c>
      <c r="C48">
        <f t="shared" si="1"/>
        <v>0.6028109582480276</v>
      </c>
      <c r="D48" s="6">
        <f t="shared" si="2"/>
        <v>674.4067372682271</v>
      </c>
    </row>
    <row r="49" spans="1:4" ht="13.5">
      <c r="A49">
        <f t="shared" si="3"/>
        <v>3.5831807999999996</v>
      </c>
      <c r="B49">
        <f t="shared" si="0"/>
        <v>0.9821712614407412</v>
      </c>
      <c r="C49">
        <f t="shared" si="1"/>
        <v>0.5967663040669854</v>
      </c>
      <c r="D49" s="6">
        <f t="shared" si="2"/>
        <v>641.2897491257999</v>
      </c>
    </row>
    <row r="50" spans="1:4" ht="13.5">
      <c r="A50">
        <f t="shared" si="3"/>
        <v>4.299816959999999</v>
      </c>
      <c r="B50">
        <f t="shared" si="0"/>
        <v>0.9575453968282284</v>
      </c>
      <c r="C50">
        <f t="shared" si="1"/>
        <v>0.582631057779403</v>
      </c>
      <c r="D50" s="6">
        <f t="shared" si="2"/>
        <v>578.9735357505007</v>
      </c>
    </row>
    <row r="51" spans="1:4" ht="13.5">
      <c r="A51">
        <f t="shared" si="3"/>
        <v>5.159780351999999</v>
      </c>
      <c r="B51">
        <f t="shared" si="0"/>
        <v>0.9044007244981677</v>
      </c>
      <c r="C51">
        <f t="shared" si="1"/>
        <v>0.5521260158619482</v>
      </c>
      <c r="D51" s="6">
        <f t="shared" si="2"/>
        <v>474.2611309807024</v>
      </c>
    </row>
    <row r="52" spans="1:4" ht="13.5">
      <c r="A52">
        <f t="shared" si="3"/>
        <v>6.191736422399999</v>
      </c>
      <c r="B52">
        <f t="shared" si="0"/>
        <v>0.8062214096657621</v>
      </c>
      <c r="C52">
        <f t="shared" si="1"/>
        <v>0.4957710891481474</v>
      </c>
      <c r="D52" s="6">
        <f t="shared" si="2"/>
        <v>331.6823907238151</v>
      </c>
    </row>
    <row r="53" spans="1:4" ht="13.5">
      <c r="A53">
        <f t="shared" si="3"/>
        <v>7.430083706879999</v>
      </c>
      <c r="B53">
        <f t="shared" si="0"/>
        <v>0.6635193810837186</v>
      </c>
      <c r="C53">
        <f t="shared" si="1"/>
        <v>0.41386012474205447</v>
      </c>
      <c r="D53" s="6">
        <f t="shared" si="2"/>
        <v>190.03051507120867</v>
      </c>
    </row>
    <row r="54" spans="1:4" ht="13.5">
      <c r="A54">
        <f t="shared" si="3"/>
        <v>8.916100448255998</v>
      </c>
      <c r="B54">
        <f t="shared" si="0"/>
        <v>0.505542358397258</v>
      </c>
      <c r="C54">
        <f t="shared" si="1"/>
        <v>0.3231813137200261</v>
      </c>
      <c r="D54" s="6">
        <f t="shared" si="2"/>
        <v>91.04336231088283</v>
      </c>
    </row>
    <row r="55" spans="1:4" ht="13.5">
      <c r="A55">
        <f t="shared" si="3"/>
        <v>10.699320537907196</v>
      </c>
      <c r="B55">
        <f t="shared" si="0"/>
        <v>0.36546725242191663</v>
      </c>
      <c r="C55">
        <f t="shared" si="1"/>
        <v>0.24277820289018012</v>
      </c>
      <c r="D55" s="6">
        <f t="shared" si="2"/>
        <v>38.931700312130225</v>
      </c>
    </row>
    <row r="56" spans="1:4" ht="13.5">
      <c r="A56">
        <f t="shared" si="3"/>
        <v>12.839184645488634</v>
      </c>
      <c r="B56">
        <f t="shared" si="0"/>
        <v>0.25698870446253114</v>
      </c>
      <c r="C56">
        <f t="shared" si="1"/>
        <v>0.18051151636149287</v>
      </c>
      <c r="D56" s="6">
        <f t="shared" si="2"/>
        <v>15.754537451008453</v>
      </c>
    </row>
    <row r="57" spans="1:4" ht="13.5">
      <c r="A57">
        <f t="shared" si="3"/>
        <v>15.407021574586361</v>
      </c>
      <c r="B57">
        <f t="shared" si="0"/>
        <v>0.1784468646099042</v>
      </c>
      <c r="C57">
        <f t="shared" si="1"/>
        <v>0.135428500286085</v>
      </c>
      <c r="D57" s="6">
        <f t="shared" si="2"/>
        <v>6.235645169278208</v>
      </c>
    </row>
    <row r="58" spans="1:4" ht="13.5">
      <c r="A58">
        <f t="shared" si="3"/>
        <v>18.48842588950363</v>
      </c>
      <c r="B58">
        <f t="shared" si="0"/>
        <v>0.12324970479518522</v>
      </c>
      <c r="C58">
        <f t="shared" si="1"/>
        <v>0.10374533055243632</v>
      </c>
      <c r="D58" s="6">
        <f t="shared" si="2"/>
        <v>2.449490498796848</v>
      </c>
    </row>
    <row r="59" spans="1:4" ht="13.5">
      <c r="A59">
        <f t="shared" si="3"/>
        <v>22.186111067404358</v>
      </c>
      <c r="B59">
        <f t="shared" si="0"/>
        <v>0.08493971652425152</v>
      </c>
      <c r="C59">
        <f t="shared" si="1"/>
        <v>0.08175539728492037</v>
      </c>
      <c r="D59" s="6">
        <f t="shared" si="2"/>
        <v>0.9603396084733858</v>
      </c>
    </row>
    <row r="60" spans="1:4" ht="13.5">
      <c r="A60">
        <f t="shared" si="3"/>
        <v>26.62333328088523</v>
      </c>
      <c r="B60">
        <f t="shared" si="0"/>
        <v>0.058485703581978916</v>
      </c>
      <c r="C60">
        <f t="shared" si="1"/>
        <v>0.0665707938560559</v>
      </c>
      <c r="D60" s="6">
        <f t="shared" si="2"/>
        <v>0.3764847719482242</v>
      </c>
    </row>
    <row r="61" spans="1:4" ht="13.5">
      <c r="A61">
        <f t="shared" si="3"/>
        <v>31.947999937062274</v>
      </c>
      <c r="B61">
        <f t="shared" si="0"/>
        <v>0.040256215776387695</v>
      </c>
      <c r="C61">
        <f t="shared" si="1"/>
        <v>0.056107067855646536</v>
      </c>
      <c r="D61" s="6">
        <f t="shared" si="2"/>
        <v>0.14765833431625633</v>
      </c>
    </row>
    <row r="62" spans="1:4" ht="13.5">
      <c r="A62">
        <f t="shared" si="3"/>
        <v>38.33759992447473</v>
      </c>
      <c r="B62">
        <f t="shared" si="0"/>
        <v>0.02770470436181534</v>
      </c>
      <c r="C62">
        <f t="shared" si="1"/>
        <v>0.04890250030368201</v>
      </c>
      <c r="D62" s="6">
        <f t="shared" si="2"/>
        <v>0.057938714763814535</v>
      </c>
    </row>
    <row r="63" spans="1:4" ht="13.5">
      <c r="A63">
        <f t="shared" si="3"/>
        <v>46.005119909369675</v>
      </c>
      <c r="B63">
        <f t="shared" si="0"/>
        <v>0.019065530697320733</v>
      </c>
      <c r="C63">
        <f t="shared" si="1"/>
        <v>0.0439436146202621</v>
      </c>
      <c r="D63" s="6">
        <f t="shared" si="2"/>
        <v>0.02274251659302965</v>
      </c>
    </row>
    <row r="64" spans="1:4" ht="13.5">
      <c r="A64">
        <f t="shared" si="3"/>
        <v>55.206143891243606</v>
      </c>
      <c r="B64">
        <f t="shared" si="0"/>
        <v>0.013120009500567773</v>
      </c>
      <c r="C64">
        <f t="shared" si="1"/>
        <v>0.0405308854533259</v>
      </c>
      <c r="D64" s="6">
        <f t="shared" si="2"/>
        <v>0.008929374684331108</v>
      </c>
    </row>
    <row r="65" spans="1:4" ht="13.5">
      <c r="A65">
        <f t="shared" si="3"/>
        <v>66.24737266949232</v>
      </c>
      <c r="B65">
        <f t="shared" si="0"/>
        <v>0.009028494340120685</v>
      </c>
      <c r="C65">
        <f t="shared" si="1"/>
        <v>0.038182355751229274</v>
      </c>
      <c r="D65" s="6">
        <f t="shared" si="2"/>
        <v>0.003506547130674656</v>
      </c>
    </row>
    <row r="66" spans="1:4" ht="13.5">
      <c r="A66">
        <f t="shared" si="3"/>
        <v>79.49684720339079</v>
      </c>
      <c r="B66">
        <f t="shared" si="0"/>
        <v>0.006212907316102433</v>
      </c>
      <c r="C66">
        <f t="shared" si="1"/>
        <v>0.0365662087994428</v>
      </c>
      <c r="D66" s="6">
        <f t="shared" si="2"/>
        <v>0.0013771719694336691</v>
      </c>
    </row>
    <row r="67" spans="1:4" ht="13.5">
      <c r="A67">
        <f t="shared" si="3"/>
        <v>95.39621664406894</v>
      </c>
      <c r="B67">
        <f t="shared" si="0"/>
        <v>0.004275370558202866</v>
      </c>
      <c r="C67">
        <f t="shared" si="1"/>
        <v>0.03545406270040845</v>
      </c>
      <c r="D67" s="6">
        <f t="shared" si="2"/>
        <v>0.0005409147044283673</v>
      </c>
    </row>
    <row r="68" spans="1:4" ht="13.5">
      <c r="A68">
        <f t="shared" si="3"/>
        <v>114.47545997288273</v>
      </c>
      <c r="B68">
        <f t="shared" si="0"/>
        <v>0.002942065825221294</v>
      </c>
      <c r="C68">
        <f t="shared" si="1"/>
        <v>0.034688745783677026</v>
      </c>
      <c r="D68" s="6">
        <f t="shared" si="2"/>
        <v>0.00021246621482403594</v>
      </c>
    </row>
    <row r="69" spans="1:4" ht="13.5">
      <c r="A69">
        <f t="shared" si="3"/>
        <v>137.37055196745928</v>
      </c>
      <c r="B69">
        <f t="shared" si="0"/>
        <v>0.0020245611663137295</v>
      </c>
      <c r="C69">
        <f t="shared" si="1"/>
        <v>0.034162098109464085</v>
      </c>
      <c r="D69" s="6">
        <f t="shared" si="2"/>
        <v>8.345722704002621E-05</v>
      </c>
    </row>
    <row r="70" spans="1:4" ht="13.5">
      <c r="A70">
        <f t="shared" si="3"/>
        <v>164.84466236095113</v>
      </c>
      <c r="B70">
        <f t="shared" si="0"/>
        <v>0.0013931868819126608</v>
      </c>
      <c r="C70">
        <f t="shared" si="1"/>
        <v>0.03379968927021787</v>
      </c>
      <c r="D70" s="6">
        <f t="shared" si="2"/>
        <v>3.2782812541578243E-05</v>
      </c>
    </row>
    <row r="71" spans="1:4" ht="13.5">
      <c r="A71">
        <f t="shared" si="3"/>
        <v>197.81359483314137</v>
      </c>
      <c r="B71">
        <f t="shared" si="0"/>
        <v>0.0009587112721455197</v>
      </c>
      <c r="C71">
        <f t="shared" si="1"/>
        <v>0.03355030027021153</v>
      </c>
      <c r="D71" s="6">
        <f t="shared" si="2"/>
        <v>1.2877561294855784E-05</v>
      </c>
    </row>
    <row r="72" spans="1:4" ht="13.5">
      <c r="A72">
        <f t="shared" si="3"/>
        <v>237.37631379976963</v>
      </c>
      <c r="B72">
        <f t="shared" si="0"/>
        <v>0.0006597300769096807</v>
      </c>
      <c r="C72">
        <f t="shared" si="1"/>
        <v>0.03337868506414616</v>
      </c>
      <c r="D72" s="6">
        <f t="shared" si="2"/>
        <v>5.058529437416464E-06</v>
      </c>
    </row>
    <row r="73" spans="1:4" ht="13.5">
      <c r="A73">
        <f t="shared" si="3"/>
        <v>284.8515765597235</v>
      </c>
      <c r="B73">
        <f aca="true" t="shared" si="4" ref="B73:B92">(1+($C$9*$A73)^$C$10)^(-$C$13)</f>
        <v>0.00045398837402797505</v>
      </c>
      <c r="C73">
        <f aca="true" t="shared" si="5" ref="C73:C92">B73*($C$8-$C$7)+$C$7</f>
        <v>0.03326058932669206</v>
      </c>
      <c r="D73" s="6">
        <f aca="true" t="shared" si="6" ref="D73:D92">$C$12*$B73^$C$11*(1-(1-$B73^((1-1/$C$10)^(-1)))^(1-1/$C$10))^2</f>
        <v>1.9870874127062693E-06</v>
      </c>
    </row>
    <row r="74" spans="1:4" ht="13.5">
      <c r="A74">
        <f t="shared" si="3"/>
        <v>341.82189187166824</v>
      </c>
      <c r="B74">
        <f t="shared" si="4"/>
        <v>0.0003124087417535865</v>
      </c>
      <c r="C74">
        <f t="shared" si="5"/>
        <v>0.03317932261776656</v>
      </c>
      <c r="D74" s="6">
        <f t="shared" si="6"/>
        <v>7.805683534248218E-07</v>
      </c>
    </row>
    <row r="75" spans="1:4" ht="13.5">
      <c r="A75">
        <f aca="true" t="shared" si="7" ref="A75:A92">A74*1.2</f>
        <v>410.18627024600187</v>
      </c>
      <c r="B75">
        <f t="shared" si="4"/>
        <v>0.00021498176474784095</v>
      </c>
      <c r="C75">
        <f t="shared" si="5"/>
        <v>0.03312339953296526</v>
      </c>
      <c r="D75" s="6">
        <f t="shared" si="6"/>
        <v>3.066236915160204E-07</v>
      </c>
    </row>
    <row r="76" spans="1:4" ht="13.5">
      <c r="A76">
        <f t="shared" si="7"/>
        <v>492.2235242952022</v>
      </c>
      <c r="B76">
        <f t="shared" si="4"/>
        <v>0.00014793811112820968</v>
      </c>
      <c r="C76">
        <f t="shared" si="5"/>
        <v>0.033084916475787596</v>
      </c>
      <c r="D76" s="6">
        <f t="shared" si="6"/>
        <v>1.2044838417282411E-07</v>
      </c>
    </row>
    <row r="77" spans="1:4" ht="13.5">
      <c r="A77">
        <f t="shared" si="7"/>
        <v>590.6682291542426</v>
      </c>
      <c r="B77">
        <f t="shared" si="4"/>
        <v>0.0001018025168144491</v>
      </c>
      <c r="C77">
        <f t="shared" si="5"/>
        <v>0.033058434644651497</v>
      </c>
      <c r="D77" s="6">
        <f t="shared" si="6"/>
        <v>4.7314751495777636E-08</v>
      </c>
    </row>
    <row r="78" spans="1:4" ht="13.5">
      <c r="A78">
        <f t="shared" si="7"/>
        <v>708.8018749850911</v>
      </c>
      <c r="B78">
        <f t="shared" si="4"/>
        <v>7.005464886652283E-05</v>
      </c>
      <c r="C78">
        <f t="shared" si="5"/>
        <v>0.03304021136844939</v>
      </c>
      <c r="D78" s="6">
        <f t="shared" si="6"/>
        <v>1.8586274459538637E-08</v>
      </c>
    </row>
    <row r="79" spans="1:4" ht="13.5">
      <c r="A79">
        <f t="shared" si="7"/>
        <v>850.5622499821093</v>
      </c>
      <c r="B79">
        <f t="shared" si="4"/>
        <v>4.8207588390225554E-05</v>
      </c>
      <c r="C79">
        <f t="shared" si="5"/>
        <v>0.03302767115573599</v>
      </c>
      <c r="D79" s="6">
        <f t="shared" si="6"/>
        <v>7.301099250625199E-09</v>
      </c>
    </row>
    <row r="80" spans="1:4" ht="13.5">
      <c r="A80">
        <f t="shared" si="7"/>
        <v>1020.6746999785311</v>
      </c>
      <c r="B80">
        <f t="shared" si="4"/>
        <v>3.317369533611174E-05</v>
      </c>
      <c r="C80">
        <f t="shared" si="5"/>
        <v>0.03301904170112293</v>
      </c>
      <c r="D80" s="6">
        <f t="shared" si="6"/>
        <v>2.868033607299611E-09</v>
      </c>
    </row>
    <row r="81" spans="1:4" ht="13.5">
      <c r="A81">
        <f t="shared" si="7"/>
        <v>1224.8096399742371</v>
      </c>
      <c r="B81">
        <f t="shared" si="4"/>
        <v>2.2828233043732165E-05</v>
      </c>
      <c r="C81">
        <f t="shared" si="5"/>
        <v>0.0330131034057671</v>
      </c>
      <c r="D81" s="6">
        <f t="shared" si="6"/>
        <v>1.1266272941731586E-09</v>
      </c>
    </row>
    <row r="82" spans="1:4" ht="13.5">
      <c r="A82">
        <f t="shared" si="7"/>
        <v>1469.7715679690846</v>
      </c>
      <c r="B82">
        <f t="shared" si="4"/>
        <v>1.5709079697574564E-05</v>
      </c>
      <c r="C82">
        <f t="shared" si="5"/>
        <v>0.03300901701174641</v>
      </c>
      <c r="D82" s="6">
        <f t="shared" si="6"/>
        <v>4.425642523159292E-10</v>
      </c>
    </row>
    <row r="83" spans="1:4" ht="13.5">
      <c r="A83">
        <f t="shared" si="7"/>
        <v>1763.7258815629013</v>
      </c>
      <c r="B83">
        <f t="shared" si="4"/>
        <v>1.0810086986225706E-05</v>
      </c>
      <c r="C83">
        <f t="shared" si="5"/>
        <v>0.033006204989930094</v>
      </c>
      <c r="D83" s="6">
        <f t="shared" si="6"/>
        <v>1.7384908660140872E-10</v>
      </c>
    </row>
    <row r="84" spans="1:4" ht="13.5">
      <c r="A84">
        <f t="shared" si="7"/>
        <v>2116.4710578754816</v>
      </c>
      <c r="B84">
        <f t="shared" si="4"/>
        <v>7.438881392127374E-06</v>
      </c>
      <c r="C84">
        <f t="shared" si="5"/>
        <v>0.033004269917919084</v>
      </c>
      <c r="D84" s="6">
        <f t="shared" si="6"/>
        <v>6.829179174190737E-11</v>
      </c>
    </row>
    <row r="85" spans="1:4" ht="13.5">
      <c r="A85">
        <f t="shared" si="7"/>
        <v>2539.7652694505778</v>
      </c>
      <c r="B85">
        <f t="shared" si="4"/>
        <v>5.119011200986955E-06</v>
      </c>
      <c r="C85">
        <f t="shared" si="5"/>
        <v>0.03300293831242937</v>
      </c>
      <c r="D85" s="6">
        <f t="shared" si="6"/>
        <v>2.6826536698248545E-11</v>
      </c>
    </row>
    <row r="86" spans="1:4" ht="13.5">
      <c r="A86">
        <f t="shared" si="7"/>
        <v>3047.718323340693</v>
      </c>
      <c r="B86">
        <f t="shared" si="4"/>
        <v>3.5226096901559474E-06</v>
      </c>
      <c r="C86">
        <f t="shared" si="5"/>
        <v>0.03300202197796215</v>
      </c>
      <c r="D86" s="6">
        <f t="shared" si="6"/>
        <v>1.0538061164534423E-11</v>
      </c>
    </row>
    <row r="87" spans="1:4" ht="13.5">
      <c r="A87">
        <f t="shared" si="7"/>
        <v>3657.261988008832</v>
      </c>
      <c r="B87">
        <f t="shared" si="4"/>
        <v>2.4240577998321084E-06</v>
      </c>
      <c r="C87">
        <f t="shared" si="5"/>
        <v>0.03300139140917711</v>
      </c>
      <c r="D87" s="6">
        <f t="shared" si="6"/>
        <v>4.1395851815440344E-12</v>
      </c>
    </row>
    <row r="88" spans="1:4" ht="13.5">
      <c r="A88">
        <f t="shared" si="7"/>
        <v>4388.714385610598</v>
      </c>
      <c r="B88">
        <f t="shared" si="4"/>
        <v>1.6680974430257495E-06</v>
      </c>
      <c r="C88">
        <f t="shared" si="5"/>
        <v>0.033000957487932296</v>
      </c>
      <c r="D88" s="6">
        <f t="shared" si="6"/>
        <v>1.6261212821743237E-12</v>
      </c>
    </row>
    <row r="89" spans="1:4" ht="13.5">
      <c r="A89">
        <f t="shared" si="7"/>
        <v>5266.457262732717</v>
      </c>
      <c r="B89">
        <f t="shared" si="4"/>
        <v>1.147888915694064E-06</v>
      </c>
      <c r="C89">
        <f t="shared" si="5"/>
        <v>0.03300065888823761</v>
      </c>
      <c r="D89" s="6">
        <f t="shared" si="6"/>
        <v>6.387766717210903E-13</v>
      </c>
    </row>
    <row r="90" spans="1:4" ht="13.5">
      <c r="A90">
        <f t="shared" si="7"/>
        <v>6319.74871527926</v>
      </c>
      <c r="B90">
        <f t="shared" si="4"/>
        <v>7.899112658450117E-07</v>
      </c>
      <c r="C90">
        <f t="shared" si="5"/>
        <v>0.0330004534090666</v>
      </c>
      <c r="D90" s="6">
        <f t="shared" si="6"/>
        <v>2.5092570932301184E-13</v>
      </c>
    </row>
    <row r="91" spans="1:4" ht="13.5">
      <c r="A91">
        <f t="shared" si="7"/>
        <v>7583.698458335111</v>
      </c>
      <c r="B91">
        <f t="shared" si="4"/>
        <v>5.435715942353142E-07</v>
      </c>
      <c r="C91">
        <f t="shared" si="5"/>
        <v>0.033000312010095095</v>
      </c>
      <c r="D91" s="6">
        <f t="shared" si="6"/>
        <v>9.856920968129412E-14</v>
      </c>
    </row>
    <row r="92" spans="1:4" ht="13.5">
      <c r="A92">
        <f t="shared" si="7"/>
        <v>9100.438150002134</v>
      </c>
      <c r="B92">
        <f t="shared" si="4"/>
        <v>3.7405477151087404E-07</v>
      </c>
      <c r="C92">
        <f t="shared" si="5"/>
        <v>0.03300021470743885</v>
      </c>
      <c r="D92" s="6">
        <f t="shared" si="6"/>
        <v>3.872018127412805E-14</v>
      </c>
    </row>
  </sheetData>
  <conditionalFormatting sqref="E7">
    <cfRule type="cellIs" priority="1" dxfId="0" operator="greaterThanOrEqual" stopIfTrue="1">
      <formula>$E$8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142"/>
  <sheetViews>
    <sheetView zoomScale="75" zoomScaleNormal="75" workbookViewId="0" topLeftCell="A1">
      <selection activeCell="I13" sqref="I13"/>
    </sheetView>
  </sheetViews>
  <sheetFormatPr defaultColWidth="9.00390625" defaultRowHeight="13.5"/>
  <cols>
    <col min="2" max="2" width="9.875" style="0" customWidth="1"/>
    <col min="5" max="5" width="9.375" style="0" customWidth="1"/>
  </cols>
  <sheetData>
    <row r="1" ht="18">
      <c r="A1" s="18" t="s">
        <v>17</v>
      </c>
    </row>
    <row r="2" spans="2:4" ht="13.5">
      <c r="B2" s="1"/>
      <c r="D2" s="1"/>
    </row>
    <row r="3" spans="2:12" ht="13.5">
      <c r="B3" s="1"/>
      <c r="D3" s="1"/>
      <c r="L3" s="19" t="s">
        <v>65</v>
      </c>
    </row>
    <row r="4" spans="2:11" ht="13.5">
      <c r="B4" s="1"/>
      <c r="D4" s="1"/>
      <c r="K4" t="s">
        <v>10</v>
      </c>
    </row>
    <row r="5" spans="2:16" ht="13.5">
      <c r="B5" s="1"/>
      <c r="D5" s="1"/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</row>
    <row r="6" spans="2:16" ht="16.5">
      <c r="B6" s="1"/>
      <c r="D6" s="1"/>
      <c r="L6" s="22" t="s">
        <v>2</v>
      </c>
      <c r="M6" s="20">
        <v>0.02</v>
      </c>
      <c r="N6" s="31">
        <v>0.015</v>
      </c>
      <c r="O6" s="31">
        <v>0.027</v>
      </c>
      <c r="P6" s="20">
        <v>0.09</v>
      </c>
    </row>
    <row r="7" spans="2:16" ht="16.5">
      <c r="B7" s="7" t="s">
        <v>18</v>
      </c>
      <c r="C7" s="8">
        <f>E7/1000</f>
        <v>0.0044</v>
      </c>
      <c r="D7" s="2"/>
      <c r="E7">
        <v>4.4</v>
      </c>
      <c r="L7" s="23" t="s">
        <v>3</v>
      </c>
      <c r="M7" s="20">
        <v>0.417</v>
      </c>
      <c r="N7" s="31">
        <v>0.486</v>
      </c>
      <c r="O7" s="31">
        <v>0.434</v>
      </c>
      <c r="P7" s="20">
        <v>0.385</v>
      </c>
    </row>
    <row r="8" spans="2:16" ht="16.5">
      <c r="B8" s="9" t="s">
        <v>19</v>
      </c>
      <c r="C8" s="10">
        <f>E8/1000</f>
        <v>0.32</v>
      </c>
      <c r="D8" s="2"/>
      <c r="E8">
        <v>320</v>
      </c>
      <c r="L8" s="22" t="s">
        <v>4</v>
      </c>
      <c r="M8" s="20">
        <v>0.138</v>
      </c>
      <c r="N8" s="31">
        <v>0.0482</v>
      </c>
      <c r="O8" s="31">
        <v>0.0897</v>
      </c>
      <c r="P8" s="20">
        <v>0.0268</v>
      </c>
    </row>
    <row r="9" spans="2:16" ht="15">
      <c r="B9" s="11" t="s">
        <v>20</v>
      </c>
      <c r="C9" s="12">
        <f>E9/1000</f>
        <v>0.059</v>
      </c>
      <c r="D9" s="2"/>
      <c r="E9">
        <v>59</v>
      </c>
      <c r="L9" s="24" t="s">
        <v>0</v>
      </c>
      <c r="M9" s="20">
        <v>0.592</v>
      </c>
      <c r="N9" s="31">
        <v>0.211</v>
      </c>
      <c r="O9" s="31">
        <v>0.22</v>
      </c>
      <c r="P9" s="20">
        <v>0.131</v>
      </c>
    </row>
    <row r="10" spans="2:16" ht="15">
      <c r="B10" s="13" t="s">
        <v>0</v>
      </c>
      <c r="C10" s="14">
        <f>E10/100</f>
        <v>1.69</v>
      </c>
      <c r="D10" s="2"/>
      <c r="E10">
        <v>169</v>
      </c>
      <c r="L10" s="25" t="s">
        <v>1</v>
      </c>
      <c r="M10" s="20">
        <v>1</v>
      </c>
      <c r="N10" s="20">
        <v>1</v>
      </c>
      <c r="O10" s="31">
        <v>1</v>
      </c>
      <c r="P10" s="20">
        <v>1</v>
      </c>
    </row>
    <row r="11" spans="2:16" ht="16.5" customHeight="1">
      <c r="B11" s="15" t="s">
        <v>1</v>
      </c>
      <c r="C11" s="12">
        <f>E11/10</f>
        <v>7</v>
      </c>
      <c r="D11" s="1"/>
      <c r="E11">
        <v>70</v>
      </c>
      <c r="L11" s="26" t="s">
        <v>8</v>
      </c>
      <c r="M11" s="20">
        <v>504</v>
      </c>
      <c r="N11" s="31">
        <v>16.32</v>
      </c>
      <c r="O11" s="31">
        <v>31.68</v>
      </c>
      <c r="P11" s="20">
        <v>1.44</v>
      </c>
    </row>
    <row r="12" spans="2:16" ht="16.5" customHeight="1">
      <c r="B12" s="16" t="s">
        <v>21</v>
      </c>
      <c r="C12" s="17">
        <f>E12</f>
        <v>1039</v>
      </c>
      <c r="D12" s="1"/>
      <c r="E12">
        <v>1039</v>
      </c>
      <c r="P12" s="1"/>
    </row>
    <row r="13" spans="2:4" ht="13.5">
      <c r="B13" s="1"/>
      <c r="D13" s="1"/>
    </row>
    <row r="40" spans="1:9" ht="16.5">
      <c r="A40" s="4" t="s">
        <v>22</v>
      </c>
      <c r="B40" s="5" t="s">
        <v>23</v>
      </c>
      <c r="C40" s="3" t="s">
        <v>24</v>
      </c>
      <c r="D40" s="5" t="s">
        <v>25</v>
      </c>
      <c r="F40" s="27"/>
      <c r="G40" s="27"/>
      <c r="H40" s="27"/>
      <c r="I40" s="27"/>
    </row>
    <row r="41" spans="1:9" ht="13.5">
      <c r="A41">
        <v>0</v>
      </c>
      <c r="B41" s="27">
        <f aca="true" t="shared" si="0" ref="B41:B72">IF(A41&lt;1/$C$9,1,($C$9*A41)^(-$C$10))</f>
        <v>1</v>
      </c>
      <c r="C41" s="27">
        <f aca="true" t="shared" si="1" ref="C41:C72">B41*($C$8-$C$7)+$C$7</f>
        <v>0.32</v>
      </c>
      <c r="D41" s="27">
        <f aca="true" t="shared" si="2" ref="D41:D72">$C$12*B41^(2/$C$10+$C$11+2)</f>
        <v>1039</v>
      </c>
      <c r="F41" s="27"/>
      <c r="G41" s="27"/>
      <c r="I41" s="27"/>
    </row>
    <row r="42" spans="1:9" ht="13.5">
      <c r="A42">
        <v>1</v>
      </c>
      <c r="B42" s="27">
        <f t="shared" si="0"/>
        <v>1</v>
      </c>
      <c r="C42" s="27">
        <f t="shared" si="1"/>
        <v>0.32</v>
      </c>
      <c r="D42" s="27">
        <f t="shared" si="2"/>
        <v>1039</v>
      </c>
      <c r="F42" s="27"/>
      <c r="G42" s="27"/>
      <c r="H42" s="27"/>
      <c r="I42" s="27"/>
    </row>
    <row r="43" spans="1:9" ht="13.5">
      <c r="A43">
        <f aca="true" t="shared" si="3" ref="A43:A103">A42*1.2</f>
        <v>1.2</v>
      </c>
      <c r="B43" s="27">
        <f t="shared" si="0"/>
        <v>1</v>
      </c>
      <c r="C43" s="27">
        <f t="shared" si="1"/>
        <v>0.32</v>
      </c>
      <c r="D43" s="27">
        <f t="shared" si="2"/>
        <v>1039</v>
      </c>
      <c r="F43" s="27"/>
      <c r="G43" s="27"/>
      <c r="H43" s="27"/>
      <c r="I43" s="27"/>
    </row>
    <row r="44" spans="1:9" ht="13.5">
      <c r="A44">
        <f t="shared" si="3"/>
        <v>1.44</v>
      </c>
      <c r="B44" s="27">
        <f t="shared" si="0"/>
        <v>1</v>
      </c>
      <c r="C44" s="27">
        <f t="shared" si="1"/>
        <v>0.32</v>
      </c>
      <c r="D44" s="27">
        <f t="shared" si="2"/>
        <v>1039</v>
      </c>
      <c r="F44" s="27"/>
      <c r="G44" s="27"/>
      <c r="H44" s="27"/>
      <c r="I44" s="27"/>
    </row>
    <row r="45" spans="1:9" ht="13.5">
      <c r="A45">
        <f t="shared" si="3"/>
        <v>1.728</v>
      </c>
      <c r="B45" s="27">
        <f t="shared" si="0"/>
        <v>1</v>
      </c>
      <c r="C45" s="27">
        <f t="shared" si="1"/>
        <v>0.32</v>
      </c>
      <c r="D45" s="27">
        <f t="shared" si="2"/>
        <v>1039</v>
      </c>
      <c r="F45" s="27"/>
      <c r="G45" s="27"/>
      <c r="H45" s="27"/>
      <c r="I45" s="27"/>
    </row>
    <row r="46" spans="1:9" ht="13.5">
      <c r="A46">
        <f t="shared" si="3"/>
        <v>2.0736</v>
      </c>
      <c r="B46" s="27">
        <f t="shared" si="0"/>
        <v>1</v>
      </c>
      <c r="C46" s="27">
        <f t="shared" si="1"/>
        <v>0.32</v>
      </c>
      <c r="D46" s="27">
        <f t="shared" si="2"/>
        <v>1039</v>
      </c>
      <c r="F46" s="27"/>
      <c r="G46" s="27"/>
      <c r="H46" s="27"/>
      <c r="I46" s="27"/>
    </row>
    <row r="47" spans="1:9" ht="13.5">
      <c r="A47">
        <f t="shared" si="3"/>
        <v>2.48832</v>
      </c>
      <c r="B47" s="27">
        <f t="shared" si="0"/>
        <v>1</v>
      </c>
      <c r="C47" s="27">
        <f t="shared" si="1"/>
        <v>0.32</v>
      </c>
      <c r="D47" s="27">
        <f t="shared" si="2"/>
        <v>1039</v>
      </c>
      <c r="F47" s="27"/>
      <c r="G47" s="27"/>
      <c r="H47" s="27"/>
      <c r="I47" s="27"/>
    </row>
    <row r="48" spans="1:9" ht="13.5">
      <c r="A48">
        <f t="shared" si="3"/>
        <v>2.9859839999999997</v>
      </c>
      <c r="B48" s="27">
        <f t="shared" si="0"/>
        <v>1</v>
      </c>
      <c r="C48" s="27">
        <f t="shared" si="1"/>
        <v>0.32</v>
      </c>
      <c r="D48" s="27">
        <f t="shared" si="2"/>
        <v>1039</v>
      </c>
      <c r="F48" s="27"/>
      <c r="G48" s="27"/>
      <c r="H48" s="27"/>
      <c r="I48" s="27"/>
    </row>
    <row r="49" spans="1:9" ht="13.5">
      <c r="A49">
        <f t="shared" si="3"/>
        <v>3.5831807999999996</v>
      </c>
      <c r="B49" s="27">
        <f t="shared" si="0"/>
        <v>1</v>
      </c>
      <c r="C49" s="27">
        <f t="shared" si="1"/>
        <v>0.32</v>
      </c>
      <c r="D49" s="27">
        <f t="shared" si="2"/>
        <v>1039</v>
      </c>
      <c r="F49" s="27"/>
      <c r="G49" s="27"/>
      <c r="H49" s="27"/>
      <c r="I49" s="27"/>
    </row>
    <row r="50" spans="1:9" ht="13.5">
      <c r="A50">
        <f t="shared" si="3"/>
        <v>4.299816959999999</v>
      </c>
      <c r="B50" s="27">
        <f t="shared" si="0"/>
        <v>1</v>
      </c>
      <c r="C50" s="27">
        <f t="shared" si="1"/>
        <v>0.32</v>
      </c>
      <c r="D50" s="27">
        <f t="shared" si="2"/>
        <v>1039</v>
      </c>
      <c r="F50" s="27"/>
      <c r="G50" s="27"/>
      <c r="H50" s="27"/>
      <c r="I50" s="27"/>
    </row>
    <row r="51" spans="1:9" ht="13.5">
      <c r="A51">
        <f t="shared" si="3"/>
        <v>5.159780351999999</v>
      </c>
      <c r="B51" s="27">
        <f t="shared" si="0"/>
        <v>1</v>
      </c>
      <c r="C51" s="27">
        <f t="shared" si="1"/>
        <v>0.32</v>
      </c>
      <c r="D51" s="27">
        <f t="shared" si="2"/>
        <v>1039</v>
      </c>
      <c r="F51" s="27"/>
      <c r="G51" s="27"/>
      <c r="H51" s="27"/>
      <c r="I51" s="27"/>
    </row>
    <row r="52" spans="1:9" ht="13.5">
      <c r="A52">
        <f t="shared" si="3"/>
        <v>6.191736422399999</v>
      </c>
      <c r="B52" s="27">
        <f t="shared" si="0"/>
        <v>1</v>
      </c>
      <c r="C52" s="27">
        <f t="shared" si="1"/>
        <v>0.32</v>
      </c>
      <c r="D52" s="27">
        <f t="shared" si="2"/>
        <v>1039</v>
      </c>
      <c r="F52" s="27"/>
      <c r="G52" s="27"/>
      <c r="H52" s="27"/>
      <c r="I52" s="27"/>
    </row>
    <row r="53" spans="1:9" ht="13.5">
      <c r="A53">
        <f t="shared" si="3"/>
        <v>7.430083706879999</v>
      </c>
      <c r="B53" s="27">
        <f t="shared" si="0"/>
        <v>1</v>
      </c>
      <c r="C53" s="27">
        <f t="shared" si="1"/>
        <v>0.32</v>
      </c>
      <c r="D53" s="27">
        <f t="shared" si="2"/>
        <v>1039</v>
      </c>
      <c r="F53" s="27"/>
      <c r="G53" s="27"/>
      <c r="H53" s="27"/>
      <c r="I53" s="27"/>
    </row>
    <row r="54" spans="1:9" ht="13.5">
      <c r="A54">
        <f t="shared" si="3"/>
        <v>8.916100448255998</v>
      </c>
      <c r="B54" s="27">
        <f t="shared" si="0"/>
        <v>1</v>
      </c>
      <c r="C54" s="27">
        <f t="shared" si="1"/>
        <v>0.32</v>
      </c>
      <c r="D54" s="27">
        <f t="shared" si="2"/>
        <v>1039</v>
      </c>
      <c r="F54" s="27"/>
      <c r="G54" s="27"/>
      <c r="H54" s="27"/>
      <c r="I54" s="27"/>
    </row>
    <row r="55" spans="1:9" ht="13.5">
      <c r="A55">
        <f t="shared" si="3"/>
        <v>10.699320537907196</v>
      </c>
      <c r="B55" s="27">
        <f t="shared" si="0"/>
        <v>1</v>
      </c>
      <c r="C55" s="27">
        <f t="shared" si="1"/>
        <v>0.32</v>
      </c>
      <c r="D55" s="27">
        <f t="shared" si="2"/>
        <v>1039</v>
      </c>
      <c r="F55" s="27"/>
      <c r="G55" s="27"/>
      <c r="H55" s="27"/>
      <c r="I55" s="27"/>
    </row>
    <row r="56" spans="1:9" ht="13.5">
      <c r="A56">
        <f t="shared" si="3"/>
        <v>12.839184645488634</v>
      </c>
      <c r="B56" s="27">
        <f t="shared" si="0"/>
        <v>1</v>
      </c>
      <c r="C56" s="27">
        <f t="shared" si="1"/>
        <v>0.32</v>
      </c>
      <c r="D56" s="27">
        <f t="shared" si="2"/>
        <v>1039</v>
      </c>
      <c r="F56" s="27"/>
      <c r="G56" s="27"/>
      <c r="H56" s="27"/>
      <c r="I56" s="27"/>
    </row>
    <row r="57" spans="1:9" ht="13.5">
      <c r="A57">
        <f t="shared" si="3"/>
        <v>15.407021574586361</v>
      </c>
      <c r="B57" s="27">
        <f t="shared" si="0"/>
        <v>1</v>
      </c>
      <c r="C57" s="27">
        <f t="shared" si="1"/>
        <v>0.32</v>
      </c>
      <c r="D57" s="27">
        <f t="shared" si="2"/>
        <v>1039</v>
      </c>
      <c r="F57" s="27"/>
      <c r="G57" s="27"/>
      <c r="H57" s="27"/>
      <c r="I57" s="27"/>
    </row>
    <row r="58" spans="1:9" ht="13.5">
      <c r="A58">
        <f t="shared" si="3"/>
        <v>18.48842588950363</v>
      </c>
      <c r="B58" s="27">
        <f t="shared" si="0"/>
        <v>0.8633744795090246</v>
      </c>
      <c r="C58" s="27">
        <f t="shared" si="1"/>
        <v>0.27688098573304815</v>
      </c>
      <c r="D58" s="27">
        <f t="shared" si="2"/>
        <v>232.7579457141283</v>
      </c>
      <c r="F58" s="27"/>
      <c r="G58" s="27"/>
      <c r="H58" s="27"/>
      <c r="I58" s="27"/>
    </row>
    <row r="59" spans="1:9" ht="13.5">
      <c r="A59">
        <f t="shared" si="3"/>
        <v>22.186111067404358</v>
      </c>
      <c r="B59" s="27">
        <f t="shared" si="0"/>
        <v>0.6344288171644885</v>
      </c>
      <c r="C59" s="27">
        <f t="shared" si="1"/>
        <v>0.20462573469711257</v>
      </c>
      <c r="D59" s="27">
        <f t="shared" si="2"/>
        <v>10.097067766595249</v>
      </c>
      <c r="F59" s="27"/>
      <c r="G59" s="27"/>
      <c r="H59" s="27"/>
      <c r="I59" s="27"/>
    </row>
    <row r="60" spans="1:9" ht="13.5">
      <c r="A60">
        <f t="shared" si="3"/>
        <v>26.62333328088523</v>
      </c>
      <c r="B60" s="27">
        <f t="shared" si="0"/>
        <v>0.46619390959716794</v>
      </c>
      <c r="C60" s="27">
        <f t="shared" si="1"/>
        <v>0.1515307978688662</v>
      </c>
      <c r="D60" s="27">
        <f t="shared" si="2"/>
        <v>0.4380120178944709</v>
      </c>
      <c r="F60" s="27"/>
      <c r="G60" s="27"/>
      <c r="H60" s="27"/>
      <c r="I60" s="27"/>
    </row>
    <row r="61" spans="1:9" ht="13.5">
      <c r="A61">
        <f t="shared" si="3"/>
        <v>31.947999937062274</v>
      </c>
      <c r="B61" s="27">
        <f t="shared" si="0"/>
        <v>0.3425707588707203</v>
      </c>
      <c r="C61" s="27">
        <f t="shared" si="1"/>
        <v>0.11251533149959933</v>
      </c>
      <c r="D61" s="27">
        <f t="shared" si="2"/>
        <v>0.019001014181038754</v>
      </c>
      <c r="F61" s="27"/>
      <c r="G61" s="27"/>
      <c r="H61" s="27"/>
      <c r="I61" s="27"/>
    </row>
    <row r="62" spans="1:9" ht="13.5">
      <c r="A62">
        <f t="shared" si="3"/>
        <v>38.33759992447473</v>
      </c>
      <c r="B62" s="27">
        <f t="shared" si="0"/>
        <v>0.2517294250683496</v>
      </c>
      <c r="C62" s="27">
        <f t="shared" si="1"/>
        <v>0.08384580655157113</v>
      </c>
      <c r="D62" s="27">
        <f t="shared" si="2"/>
        <v>0.0008242662875862475</v>
      </c>
      <c r="F62" s="27"/>
      <c r="G62" s="27"/>
      <c r="H62" s="27"/>
      <c r="I62" s="27"/>
    </row>
    <row r="63" spans="1:9" ht="13.5">
      <c r="A63">
        <f t="shared" si="3"/>
        <v>46.005119909369675</v>
      </c>
      <c r="B63" s="27">
        <f t="shared" si="0"/>
        <v>0.18497697717730666</v>
      </c>
      <c r="C63" s="27">
        <f t="shared" si="1"/>
        <v>0.06277873399715797</v>
      </c>
      <c r="D63" s="27">
        <f t="shared" si="2"/>
        <v>3.5756771000634845E-05</v>
      </c>
      <c r="F63" s="27"/>
      <c r="G63" s="27"/>
      <c r="H63" s="27"/>
      <c r="I63" s="27"/>
    </row>
    <row r="64" spans="1:9" ht="13.5">
      <c r="A64">
        <f t="shared" si="3"/>
        <v>55.206143891243606</v>
      </c>
      <c r="B64" s="27">
        <f t="shared" si="0"/>
        <v>0.13592563553650258</v>
      </c>
      <c r="C64" s="27">
        <f t="shared" si="1"/>
        <v>0.047298130575320216</v>
      </c>
      <c r="D64" s="27">
        <f t="shared" si="2"/>
        <v>1.5511330399498513E-06</v>
      </c>
      <c r="F64" s="27"/>
      <c r="G64" s="27"/>
      <c r="H64" s="27"/>
      <c r="I64" s="27"/>
    </row>
    <row r="65" spans="1:9" ht="13.5">
      <c r="A65">
        <f t="shared" si="3"/>
        <v>66.24737266949232</v>
      </c>
      <c r="B65" s="27">
        <f t="shared" si="0"/>
        <v>0.09988150243309728</v>
      </c>
      <c r="C65" s="27">
        <f t="shared" si="1"/>
        <v>0.0359226021678855</v>
      </c>
      <c r="D65" s="27">
        <f t="shared" si="2"/>
        <v>6.728833841236273E-08</v>
      </c>
      <c r="F65" s="27"/>
      <c r="G65" s="27"/>
      <c r="H65" s="27"/>
      <c r="I65" s="27"/>
    </row>
    <row r="66" spans="1:9" ht="13.5">
      <c r="A66">
        <f t="shared" si="3"/>
        <v>79.49684720339079</v>
      </c>
      <c r="B66" s="27">
        <f t="shared" si="0"/>
        <v>0.0733953863001339</v>
      </c>
      <c r="C66" s="27">
        <f t="shared" si="1"/>
        <v>0.027563583916322257</v>
      </c>
      <c r="D66" s="27">
        <f t="shared" si="2"/>
        <v>2.9189762384553527E-09</v>
      </c>
      <c r="F66" s="27"/>
      <c r="G66" s="27"/>
      <c r="H66" s="27"/>
      <c r="I66" s="27"/>
    </row>
    <row r="67" spans="1:9" ht="13.5">
      <c r="A67">
        <f t="shared" si="3"/>
        <v>95.39621664406894</v>
      </c>
      <c r="B67" s="27">
        <f t="shared" si="0"/>
        <v>0.05393273628171673</v>
      </c>
      <c r="C67" s="27">
        <f t="shared" si="1"/>
        <v>0.021421171570509802</v>
      </c>
      <c r="D67" s="27">
        <f t="shared" si="2"/>
        <v>1.2662554138952438E-10</v>
      </c>
      <c r="F67" s="27"/>
      <c r="G67" s="27"/>
      <c r="H67" s="27"/>
      <c r="I67" s="27"/>
    </row>
    <row r="68" spans="1:9" ht="13.5">
      <c r="A68">
        <f t="shared" si="3"/>
        <v>114.47545997288273</v>
      </c>
      <c r="B68" s="27">
        <f t="shared" si="0"/>
        <v>0.039631102027838185</v>
      </c>
      <c r="C68" s="27">
        <f t="shared" si="1"/>
        <v>0.01690757579998573</v>
      </c>
      <c r="D68" s="27">
        <f t="shared" si="2"/>
        <v>5.4930312624521415E-12</v>
      </c>
      <c r="F68" s="27"/>
      <c r="G68" s="27"/>
      <c r="H68" s="27"/>
      <c r="I68" s="27"/>
    </row>
    <row r="69" spans="1:9" ht="13.5">
      <c r="A69">
        <f t="shared" si="3"/>
        <v>137.37055196745928</v>
      </c>
      <c r="B69" s="27">
        <f t="shared" si="0"/>
        <v>0.029121909182148492</v>
      </c>
      <c r="C69" s="27">
        <f t="shared" si="1"/>
        <v>0.013590874537886065</v>
      </c>
      <c r="D69" s="27">
        <f t="shared" si="2"/>
        <v>2.3828835888217146E-13</v>
      </c>
      <c r="F69" s="27"/>
      <c r="G69" s="27"/>
      <c r="H69" s="27"/>
      <c r="I69" s="27"/>
    </row>
    <row r="70" spans="1:9" ht="13.5">
      <c r="A70">
        <f t="shared" si="3"/>
        <v>164.84466236095113</v>
      </c>
      <c r="B70" s="27">
        <f t="shared" si="0"/>
        <v>0.021399495623855787</v>
      </c>
      <c r="C70" s="27">
        <f t="shared" si="1"/>
        <v>0.011153680818888886</v>
      </c>
      <c r="D70" s="27">
        <f t="shared" si="2"/>
        <v>1.0336977757052057E-14</v>
      </c>
      <c r="F70" s="27"/>
      <c r="G70" s="27"/>
      <c r="H70" s="27"/>
      <c r="I70" s="27"/>
    </row>
    <row r="71" spans="1:9" ht="13.5">
      <c r="A71">
        <f t="shared" si="3"/>
        <v>197.81359483314137</v>
      </c>
      <c r="B71" s="27">
        <f t="shared" si="0"/>
        <v>0.0157248760749565</v>
      </c>
      <c r="C71" s="27">
        <f t="shared" si="1"/>
        <v>0.009362770889256272</v>
      </c>
      <c r="D71" s="27">
        <f t="shared" si="2"/>
        <v>4.484193422248778E-16</v>
      </c>
      <c r="F71" s="27"/>
      <c r="G71" s="27"/>
      <c r="H71" s="27"/>
      <c r="I71" s="27"/>
    </row>
    <row r="72" spans="1:9" ht="13.5">
      <c r="A72">
        <f t="shared" si="3"/>
        <v>237.37631379976963</v>
      </c>
      <c r="B72" s="27">
        <f t="shared" si="0"/>
        <v>0.011555025965055222</v>
      </c>
      <c r="C72" s="27">
        <f t="shared" si="1"/>
        <v>0.008046766194571429</v>
      </c>
      <c r="D72" s="27">
        <f t="shared" si="2"/>
        <v>1.9452485166102752E-17</v>
      </c>
      <c r="F72" s="27"/>
      <c r="G72" s="27"/>
      <c r="H72" s="27"/>
      <c r="I72" s="27"/>
    </row>
    <row r="73" spans="1:9" ht="13.5">
      <c r="A73">
        <f t="shared" si="3"/>
        <v>284.8515765597235</v>
      </c>
      <c r="B73" s="27">
        <f aca="true" t="shared" si="4" ref="B73:B103">IF(A73&lt;1/$C$9,1,($C$9*A73)^(-$C$10))</f>
        <v>0.008490917474748354</v>
      </c>
      <c r="C73" s="27">
        <f aca="true" t="shared" si="5" ref="C73:C103">B73*($C$8-$C$7)+$C$7</f>
        <v>0.007079733555030581</v>
      </c>
      <c r="D73" s="27">
        <f aca="true" t="shared" si="6" ref="D73:D90">$C$12*B73^(2/$C$10+$C$11+2)</f>
        <v>8.438511533868886E-19</v>
      </c>
      <c r="F73" s="27"/>
      <c r="G73" s="27"/>
      <c r="H73" s="27"/>
      <c r="I73" s="27"/>
    </row>
    <row r="74" spans="1:9" ht="13.5">
      <c r="A74">
        <f t="shared" si="3"/>
        <v>341.82189187166824</v>
      </c>
      <c r="B74" s="27">
        <f t="shared" si="4"/>
        <v>0.006239335141350532</v>
      </c>
      <c r="C74" s="27">
        <f t="shared" si="5"/>
        <v>0.006369134170610228</v>
      </c>
      <c r="D74" s="27">
        <f t="shared" si="6"/>
        <v>3.660636484191886E-20</v>
      </c>
      <c r="F74" s="27"/>
      <c r="G74" s="27"/>
      <c r="H74" s="27"/>
      <c r="I74" s="27"/>
    </row>
    <row r="75" spans="1:9" ht="13.5">
      <c r="A75">
        <f t="shared" si="3"/>
        <v>410.18627024600187</v>
      </c>
      <c r="B75" s="27">
        <f t="shared" si="4"/>
        <v>0.004584817026177189</v>
      </c>
      <c r="C75" s="27">
        <f t="shared" si="5"/>
        <v>0.005846968253461521</v>
      </c>
      <c r="D75" s="27">
        <f t="shared" si="6"/>
        <v>1.587988523285585E-21</v>
      </c>
      <c r="F75" s="27"/>
      <c r="G75" s="27"/>
      <c r="H75" s="27"/>
      <c r="I75" s="27"/>
    </row>
    <row r="76" spans="1:9" ht="13.5">
      <c r="A76">
        <f t="shared" si="3"/>
        <v>492.2235242952022</v>
      </c>
      <c r="B76" s="27">
        <f t="shared" si="4"/>
        <v>0.0033690363936716284</v>
      </c>
      <c r="C76" s="27">
        <f t="shared" si="5"/>
        <v>0.005463267885842766</v>
      </c>
      <c r="D76" s="27">
        <f t="shared" si="6"/>
        <v>6.888713372596561E-23</v>
      </c>
      <c r="F76" s="27"/>
      <c r="G76" s="27"/>
      <c r="H76" s="27"/>
      <c r="I76" s="27"/>
    </row>
    <row r="77" spans="1:9" ht="13.5">
      <c r="A77">
        <f t="shared" si="3"/>
        <v>590.6682291542426</v>
      </c>
      <c r="B77" s="27">
        <f t="shared" si="4"/>
        <v>0.002475650861763589</v>
      </c>
      <c r="C77" s="27">
        <f t="shared" si="5"/>
        <v>0.0051813154119725886</v>
      </c>
      <c r="D77" s="27">
        <f t="shared" si="6"/>
        <v>2.9883321720490876E-24</v>
      </c>
      <c r="F77" s="27"/>
      <c r="G77" s="27"/>
      <c r="H77" s="27"/>
      <c r="I77" s="27"/>
    </row>
    <row r="78" spans="1:9" ht="13.5">
      <c r="A78">
        <f t="shared" si="3"/>
        <v>708.8018749850911</v>
      </c>
      <c r="B78" s="27">
        <f t="shared" si="4"/>
        <v>0.001819169184655642</v>
      </c>
      <c r="C78" s="27">
        <f t="shared" si="5"/>
        <v>0.004974129794677321</v>
      </c>
      <c r="D78" s="27">
        <f t="shared" si="6"/>
        <v>1.2963421015639746E-25</v>
      </c>
      <c r="F78" s="27"/>
      <c r="G78" s="27"/>
      <c r="H78" s="27"/>
      <c r="I78" s="27"/>
    </row>
    <row r="79" spans="1:9" ht="13.5">
      <c r="A79">
        <f t="shared" si="3"/>
        <v>850.5622499821093</v>
      </c>
      <c r="B79" s="27">
        <f t="shared" si="4"/>
        <v>0.0013367702908006814</v>
      </c>
      <c r="C79" s="27">
        <f t="shared" si="5"/>
        <v>0.004821884703776695</v>
      </c>
      <c r="D79" s="27">
        <f t="shared" si="6"/>
        <v>5.62354767654549E-27</v>
      </c>
      <c r="F79" s="27"/>
      <c r="G79" s="27"/>
      <c r="H79" s="27"/>
      <c r="I79" s="27"/>
    </row>
    <row r="80" spans="1:9" ht="13.5">
      <c r="A80">
        <f t="shared" si="3"/>
        <v>1020.6746999785311</v>
      </c>
      <c r="B80" s="27">
        <f t="shared" si="4"/>
        <v>0.0009822917106555979</v>
      </c>
      <c r="C80" s="27">
        <f t="shared" si="5"/>
        <v>0.004710011263882907</v>
      </c>
      <c r="D80" s="27">
        <f t="shared" si="6"/>
        <v>2.4395017667194053E-28</v>
      </c>
      <c r="F80" s="27"/>
      <c r="G80" s="27"/>
      <c r="H80" s="27"/>
      <c r="I80" s="27"/>
    </row>
    <row r="81" spans="1:9" ht="13.5">
      <c r="A81">
        <f t="shared" si="3"/>
        <v>1224.8096399742371</v>
      </c>
      <c r="B81" s="27">
        <f t="shared" si="4"/>
        <v>0.0007218121254361199</v>
      </c>
      <c r="C81" s="27">
        <f t="shared" si="5"/>
        <v>0.0046278039067876395</v>
      </c>
      <c r="D81" s="27">
        <f t="shared" si="6"/>
        <v>1.0582588095852651E-29</v>
      </c>
      <c r="F81" s="27"/>
      <c r="G81" s="27"/>
      <c r="H81" s="27"/>
      <c r="I81" s="27"/>
    </row>
    <row r="82" spans="1:9" ht="13.5">
      <c r="A82">
        <f t="shared" si="3"/>
        <v>1469.7715679690846</v>
      </c>
      <c r="B82" s="27">
        <f t="shared" si="4"/>
        <v>0.0005304053152183035</v>
      </c>
      <c r="C82" s="27">
        <f t="shared" si="5"/>
        <v>0.004567395917482897</v>
      </c>
      <c r="D82" s="27">
        <f t="shared" si="6"/>
        <v>4.59073948354165E-31</v>
      </c>
      <c r="F82" s="27"/>
      <c r="G82" s="27"/>
      <c r="H82" s="27"/>
      <c r="I82" s="27"/>
    </row>
    <row r="83" spans="1:9" ht="13.5">
      <c r="A83">
        <f t="shared" si="3"/>
        <v>1763.7258815629013</v>
      </c>
      <c r="B83" s="27">
        <f t="shared" si="4"/>
        <v>0.0003897548801107331</v>
      </c>
      <c r="C83" s="27">
        <f t="shared" si="5"/>
        <v>0.004523006640162947</v>
      </c>
      <c r="D83" s="27">
        <f t="shared" si="6"/>
        <v>1.9914683265436338E-32</v>
      </c>
      <c r="F83" s="27"/>
      <c r="G83" s="27"/>
      <c r="H83" s="27"/>
      <c r="I83" s="27"/>
    </row>
    <row r="84" spans="1:9" ht="13.5">
      <c r="A84">
        <f t="shared" si="3"/>
        <v>2116.4710578754816</v>
      </c>
      <c r="B84" s="27">
        <f t="shared" si="4"/>
        <v>0.0002864014786646873</v>
      </c>
      <c r="C84" s="27">
        <f t="shared" si="5"/>
        <v>0.0044903883066665755</v>
      </c>
      <c r="D84" s="27">
        <f t="shared" si="6"/>
        <v>8.639013626987188E-34</v>
      </c>
      <c r="F84" s="27"/>
      <c r="G84" s="27"/>
      <c r="H84" s="27"/>
      <c r="I84" s="27"/>
    </row>
    <row r="85" spans="1:9" ht="13.5">
      <c r="A85">
        <f t="shared" si="3"/>
        <v>2539.7652694505778</v>
      </c>
      <c r="B85" s="27">
        <f t="shared" si="4"/>
        <v>0.0002104548555184607</v>
      </c>
      <c r="C85" s="27">
        <f t="shared" si="5"/>
        <v>0.004466419552401626</v>
      </c>
      <c r="D85" s="27">
        <f t="shared" si="6"/>
        <v>3.747614534086147E-35</v>
      </c>
      <c r="F85" s="27"/>
      <c r="G85" s="27"/>
      <c r="H85" s="27"/>
      <c r="I85" s="27"/>
    </row>
    <row r="86" spans="1:9" ht="13.5">
      <c r="A86">
        <f t="shared" si="3"/>
        <v>3047.718323340693</v>
      </c>
      <c r="B86" s="27">
        <f t="shared" si="4"/>
        <v>0.00015464740761045965</v>
      </c>
      <c r="C86" s="27">
        <f t="shared" si="5"/>
        <v>0.004448806721841861</v>
      </c>
      <c r="D86" s="27">
        <f t="shared" si="6"/>
        <v>1.625719706266017E-36</v>
      </c>
      <c r="F86" s="27"/>
      <c r="G86" s="27"/>
      <c r="H86" s="27"/>
      <c r="I86" s="27"/>
    </row>
    <row r="87" spans="1:9" ht="13.5">
      <c r="A87">
        <f t="shared" si="3"/>
        <v>3657.261988008832</v>
      </c>
      <c r="B87" s="27">
        <f t="shared" si="4"/>
        <v>0.0001136387213386852</v>
      </c>
      <c r="C87" s="27">
        <f t="shared" si="5"/>
        <v>0.004435864380454489</v>
      </c>
      <c r="D87" s="27">
        <f t="shared" si="6"/>
        <v>7.05239169958047E-38</v>
      </c>
      <c r="F87" s="27"/>
      <c r="G87" s="27"/>
      <c r="H87" s="27"/>
      <c r="I87" s="27"/>
    </row>
    <row r="88" spans="1:9" ht="13.5">
      <c r="A88">
        <f t="shared" si="3"/>
        <v>4388.714385610598</v>
      </c>
      <c r="B88" s="27">
        <f t="shared" si="4"/>
        <v>8.350452934859231E-05</v>
      </c>
      <c r="C88" s="27">
        <f t="shared" si="5"/>
        <v>0.004426354029462416</v>
      </c>
      <c r="D88" s="27">
        <f t="shared" si="6"/>
        <v>3.059336027767499E-39</v>
      </c>
      <c r="F88" s="27"/>
      <c r="G88" s="27"/>
      <c r="H88" s="28"/>
      <c r="I88" s="27"/>
    </row>
    <row r="89" spans="1:9" ht="13.5">
      <c r="A89">
        <f t="shared" si="3"/>
        <v>5266.457262732717</v>
      </c>
      <c r="B89" s="27">
        <f t="shared" si="4"/>
        <v>6.13611834028632E-05</v>
      </c>
      <c r="C89" s="27">
        <f t="shared" si="5"/>
        <v>0.004419365589481944</v>
      </c>
      <c r="D89" s="27">
        <f t="shared" si="6"/>
        <v>1.327143659838547E-40</v>
      </c>
      <c r="F89" s="27"/>
      <c r="G89" s="27"/>
      <c r="H89" s="27"/>
      <c r="I89" s="27"/>
    </row>
    <row r="90" spans="1:9" ht="13.5">
      <c r="A90">
        <f t="shared" si="3"/>
        <v>6319.74871527926</v>
      </c>
      <c r="B90" s="27">
        <f t="shared" si="4"/>
        <v>4.508970780353582E-05</v>
      </c>
      <c r="C90" s="27">
        <f t="shared" si="5"/>
        <v>0.0044142303117827965</v>
      </c>
      <c r="D90" s="27">
        <f t="shared" si="6"/>
        <v>5.757165207951727E-42</v>
      </c>
      <c r="F90" s="27"/>
      <c r="G90" s="27"/>
      <c r="H90" s="27"/>
      <c r="I90" s="27"/>
    </row>
    <row r="91" spans="1:9" ht="13.5">
      <c r="A91">
        <f t="shared" si="3"/>
        <v>7583.698458335111</v>
      </c>
      <c r="B91" s="27">
        <f t="shared" si="4"/>
        <v>3.3133027054908006E-05</v>
      </c>
      <c r="C91" s="27">
        <f t="shared" si="5"/>
        <v>0.0044104567833385296</v>
      </c>
      <c r="D91" s="27">
        <f aca="true" t="shared" si="7" ref="D91:D103">$C$12*B91^(2/$C$10+$C$11+2)</f>
        <v>2.497465213048794E-43</v>
      </c>
      <c r="F91" s="27"/>
      <c r="G91" s="27"/>
      <c r="H91" s="27"/>
      <c r="I91" s="27"/>
    </row>
    <row r="92" spans="1:9" ht="13.5">
      <c r="A92">
        <f t="shared" si="3"/>
        <v>9100.438150002134</v>
      </c>
      <c r="B92" s="27">
        <f t="shared" si="4"/>
        <v>2.4346963759547347E-05</v>
      </c>
      <c r="C92" s="27">
        <f t="shared" si="5"/>
        <v>0.0044076839017625135</v>
      </c>
      <c r="D92" s="27">
        <f t="shared" si="7"/>
        <v>1.0834034225340345E-44</v>
      </c>
      <c r="F92" s="27"/>
      <c r="G92" s="27"/>
      <c r="H92" s="27"/>
      <c r="I92" s="27"/>
    </row>
    <row r="93" spans="1:9" ht="13.5">
      <c r="A93">
        <f t="shared" si="3"/>
        <v>10920.52578000256</v>
      </c>
      <c r="B93" s="27">
        <f t="shared" si="4"/>
        <v>1.7890748204996985E-05</v>
      </c>
      <c r="C93" s="27">
        <f t="shared" si="5"/>
        <v>0.004405646320133497</v>
      </c>
      <c r="D93" s="27">
        <f t="shared" si="7"/>
        <v>4.699817117875217E-46</v>
      </c>
      <c r="F93" s="27"/>
      <c r="G93" s="27"/>
      <c r="H93" s="27"/>
      <c r="I93" s="27"/>
    </row>
    <row r="94" spans="1:9" ht="13.5">
      <c r="A94">
        <f t="shared" si="3"/>
        <v>13104.63093600307</v>
      </c>
      <c r="B94" s="27">
        <f t="shared" si="4"/>
        <v>1.3146562113277417E-05</v>
      </c>
      <c r="C94" s="27">
        <f t="shared" si="5"/>
        <v>0.0044041490550029505</v>
      </c>
      <c r="D94" s="27">
        <f t="shared" si="7"/>
        <v>2.0387863359163101E-47</v>
      </c>
      <c r="F94" s="27"/>
      <c r="G94" s="27"/>
      <c r="H94" s="27"/>
      <c r="I94" s="27"/>
    </row>
    <row r="95" spans="1:9" ht="13.5">
      <c r="A95">
        <f t="shared" si="3"/>
        <v>15725.557123203684</v>
      </c>
      <c r="B95" s="27">
        <f t="shared" si="4"/>
        <v>9.660417407807903E-06</v>
      </c>
      <c r="C95" s="27">
        <f t="shared" si="5"/>
        <v>0.0044030488277339045</v>
      </c>
      <c r="D95" s="27">
        <f t="shared" si="7"/>
        <v>8.844279722522804E-49</v>
      </c>
      <c r="F95" s="29"/>
      <c r="G95" s="27"/>
      <c r="H95" s="30"/>
      <c r="I95" s="27"/>
    </row>
    <row r="96" spans="1:9" ht="13.5">
      <c r="A96">
        <f t="shared" si="3"/>
        <v>18870.66854784442</v>
      </c>
      <c r="B96" s="27">
        <f t="shared" si="4"/>
        <v>7.098712476231744E-06</v>
      </c>
      <c r="C96" s="27">
        <f t="shared" si="5"/>
        <v>0.004402240353657499</v>
      </c>
      <c r="D96" s="27">
        <f t="shared" si="7"/>
        <v>3.836659213976552E-50</v>
      </c>
      <c r="F96" s="27"/>
      <c r="G96" s="27"/>
      <c r="H96" s="27"/>
      <c r="I96" s="27"/>
    </row>
    <row r="97" spans="1:9" ht="13.5">
      <c r="A97">
        <f t="shared" si="3"/>
        <v>22644.802257413303</v>
      </c>
      <c r="B97" s="27">
        <f t="shared" si="4"/>
        <v>5.216308643090295E-06</v>
      </c>
      <c r="C97" s="27">
        <f t="shared" si="5"/>
        <v>0.004401646267007759</v>
      </c>
      <c r="D97" s="27">
        <f t="shared" si="7"/>
        <v>1.664347395832113E-51</v>
      </c>
      <c r="F97" s="27"/>
      <c r="G97" s="27"/>
      <c r="H97" s="27"/>
      <c r="I97" s="27"/>
    </row>
    <row r="98" spans="1:9" ht="13.5">
      <c r="A98">
        <f t="shared" si="3"/>
        <v>27173.762708895963</v>
      </c>
      <c r="B98" s="27">
        <f t="shared" si="4"/>
        <v>3.833071976232859E-06</v>
      </c>
      <c r="C98" s="27">
        <f t="shared" si="5"/>
        <v>0.004401209717515699</v>
      </c>
      <c r="D98" s="27">
        <f t="shared" si="7"/>
        <v>7.219959082949156E-53</v>
      </c>
      <c r="F98" s="27"/>
      <c r="G98" s="27"/>
      <c r="H98" s="27"/>
      <c r="I98" s="27"/>
    </row>
    <row r="99" spans="1:9" ht="13.5">
      <c r="A99">
        <f t="shared" si="3"/>
        <v>32608.515250675155</v>
      </c>
      <c r="B99" s="27">
        <f t="shared" si="4"/>
        <v>2.816635628806934E-06</v>
      </c>
      <c r="C99" s="27">
        <f t="shared" si="5"/>
        <v>0.004400888930204452</v>
      </c>
      <c r="D99" s="27">
        <f t="shared" si="7"/>
        <v>3.132026960837585E-54</v>
      </c>
      <c r="F99" s="27"/>
      <c r="G99" s="27"/>
      <c r="H99" s="27"/>
      <c r="I99" s="27"/>
    </row>
    <row r="100" spans="1:9" ht="13.5">
      <c r="A100">
        <f t="shared" si="3"/>
        <v>39130.218300810186</v>
      </c>
      <c r="B100" s="27">
        <f t="shared" si="4"/>
        <v>2.0697331838943504E-06</v>
      </c>
      <c r="C100" s="27">
        <f t="shared" si="5"/>
        <v>0.004400653207792838</v>
      </c>
      <c r="D100" s="27">
        <f t="shared" si="7"/>
        <v>1.358677074303702E-55</v>
      </c>
      <c r="F100" s="27"/>
      <c r="G100" s="27"/>
      <c r="H100" s="27"/>
      <c r="I100" s="27"/>
    </row>
    <row r="101" spans="1:9" ht="13.5">
      <c r="A101">
        <f t="shared" si="3"/>
        <v>46956.261960972224</v>
      </c>
      <c r="B101" s="27">
        <f t="shared" si="4"/>
        <v>1.5208908843945715E-06</v>
      </c>
      <c r="C101" s="27">
        <f t="shared" si="5"/>
        <v>0.004400479993163115</v>
      </c>
      <c r="D101" s="27">
        <f t="shared" si="7"/>
        <v>5.893957540342327E-57</v>
      </c>
      <c r="F101" s="27"/>
      <c r="G101" s="27"/>
      <c r="H101" s="27"/>
      <c r="I101" s="27"/>
    </row>
    <row r="102" spans="1:9" ht="13.5">
      <c r="A102">
        <f t="shared" si="3"/>
        <v>56347.51435316667</v>
      </c>
      <c r="B102" s="27">
        <f t="shared" si="4"/>
        <v>1.1175880544574458E-06</v>
      </c>
      <c r="C102" s="27">
        <f t="shared" si="5"/>
        <v>0.004400352710789987</v>
      </c>
      <c r="D102" s="27">
        <f t="shared" si="7"/>
        <v>2.5568058918754597E-58</v>
      </c>
      <c r="F102" s="27"/>
      <c r="G102" s="27"/>
      <c r="H102" s="27"/>
      <c r="I102" s="27"/>
    </row>
    <row r="103" spans="1:9" ht="13.5">
      <c r="A103">
        <f t="shared" si="3"/>
        <v>67617.0172238</v>
      </c>
      <c r="B103" s="27">
        <f t="shared" si="4"/>
        <v>8.212312088142836E-07</v>
      </c>
      <c r="C103" s="27">
        <f t="shared" si="5"/>
        <v>0.004400259180569502</v>
      </c>
      <c r="D103" s="27">
        <f t="shared" si="7"/>
        <v>1.1091454806017105E-59</v>
      </c>
      <c r="F103" s="27"/>
      <c r="G103" s="27"/>
      <c r="H103" s="27"/>
      <c r="I103" s="27"/>
    </row>
    <row r="104" spans="6:9" ht="13.5">
      <c r="F104" s="27"/>
      <c r="G104" s="27"/>
      <c r="H104" s="27"/>
      <c r="I104" s="27"/>
    </row>
    <row r="105" spans="6:9" ht="13.5">
      <c r="F105" s="27"/>
      <c r="G105" s="27"/>
      <c r="H105" s="27"/>
      <c r="I105" s="27"/>
    </row>
    <row r="106" spans="6:9" ht="13.5">
      <c r="F106" s="27"/>
      <c r="G106" s="27"/>
      <c r="H106" s="27"/>
      <c r="I106" s="27"/>
    </row>
    <row r="107" spans="6:9" ht="13.5">
      <c r="F107" s="27"/>
      <c r="G107" s="27"/>
      <c r="H107" s="27"/>
      <c r="I107" s="27"/>
    </row>
    <row r="108" spans="6:9" ht="13.5">
      <c r="F108" s="27"/>
      <c r="G108" s="27"/>
      <c r="H108" s="27"/>
      <c r="I108" s="27"/>
    </row>
    <row r="109" spans="6:9" ht="13.5">
      <c r="F109" s="27"/>
      <c r="G109" s="27"/>
      <c r="H109" s="27"/>
      <c r="I109" s="27"/>
    </row>
    <row r="110" spans="6:9" ht="13.5">
      <c r="F110" s="27"/>
      <c r="G110" s="27"/>
      <c r="H110" s="27"/>
      <c r="I110" s="27"/>
    </row>
    <row r="111" spans="6:9" ht="13.5">
      <c r="F111" s="27"/>
      <c r="G111" s="27"/>
      <c r="H111" s="27"/>
      <c r="I111" s="27"/>
    </row>
    <row r="112" spans="6:9" ht="13.5">
      <c r="F112" s="27"/>
      <c r="G112" s="27"/>
      <c r="H112" s="27"/>
      <c r="I112" s="27"/>
    </row>
    <row r="113" spans="6:9" ht="13.5">
      <c r="F113" s="27"/>
      <c r="G113" s="27"/>
      <c r="H113" s="27"/>
      <c r="I113" s="27"/>
    </row>
    <row r="114" spans="6:9" ht="13.5">
      <c r="F114" s="27"/>
      <c r="G114" s="27"/>
      <c r="H114" s="27"/>
      <c r="I114" s="27"/>
    </row>
    <row r="115" spans="6:9" ht="13.5">
      <c r="F115" s="27"/>
      <c r="G115" s="27"/>
      <c r="H115" s="27"/>
      <c r="I115" s="27"/>
    </row>
    <row r="116" spans="6:9" ht="13.5">
      <c r="F116" s="27"/>
      <c r="G116" s="27"/>
      <c r="H116" s="27"/>
      <c r="I116" s="27"/>
    </row>
    <row r="117" spans="6:9" ht="13.5">
      <c r="F117" s="27"/>
      <c r="G117" s="27"/>
      <c r="H117" s="27"/>
      <c r="I117" s="27"/>
    </row>
    <row r="118" spans="6:9" ht="13.5">
      <c r="F118" s="27"/>
      <c r="G118" s="27"/>
      <c r="H118" s="27"/>
      <c r="I118" s="27"/>
    </row>
    <row r="119" spans="6:9" ht="13.5">
      <c r="F119" s="27"/>
      <c r="G119" s="27"/>
      <c r="H119" s="27"/>
      <c r="I119" s="27"/>
    </row>
    <row r="120" spans="6:9" ht="13.5">
      <c r="F120" s="27"/>
      <c r="G120" s="27"/>
      <c r="H120" s="27"/>
      <c r="I120" s="27"/>
    </row>
    <row r="121" spans="6:9" ht="13.5">
      <c r="F121" s="27"/>
      <c r="G121" s="27"/>
      <c r="H121" s="27"/>
      <c r="I121" s="27"/>
    </row>
    <row r="122" spans="6:9" ht="13.5">
      <c r="F122" s="27"/>
      <c r="G122" s="27"/>
      <c r="H122" s="27"/>
      <c r="I122" s="27"/>
    </row>
    <row r="123" spans="6:9" ht="13.5">
      <c r="F123" s="27"/>
      <c r="G123" s="27"/>
      <c r="H123" s="27"/>
      <c r="I123" s="27"/>
    </row>
    <row r="124" spans="6:9" ht="13.5">
      <c r="F124" s="27"/>
      <c r="G124" s="27"/>
      <c r="H124" s="27"/>
      <c r="I124" s="27"/>
    </row>
    <row r="125" spans="6:9" ht="13.5">
      <c r="F125" s="27"/>
      <c r="G125" s="27"/>
      <c r="H125" s="27"/>
      <c r="I125" s="27"/>
    </row>
    <row r="126" spans="6:9" ht="13.5">
      <c r="F126" s="27"/>
      <c r="G126" s="27"/>
      <c r="H126" s="27"/>
      <c r="I126" s="27"/>
    </row>
    <row r="127" spans="6:9" ht="13.5">
      <c r="F127" s="27"/>
      <c r="G127" s="27"/>
      <c r="H127" s="27"/>
      <c r="I127" s="27"/>
    </row>
    <row r="128" spans="6:9" ht="13.5">
      <c r="F128" s="27"/>
      <c r="G128" s="27"/>
      <c r="H128" s="27"/>
      <c r="I128" s="27"/>
    </row>
    <row r="129" spans="6:9" ht="13.5">
      <c r="F129" s="27"/>
      <c r="G129" s="27"/>
      <c r="H129" s="27"/>
      <c r="I129" s="27"/>
    </row>
    <row r="130" spans="6:9" ht="13.5">
      <c r="F130" s="27"/>
      <c r="G130" s="27"/>
      <c r="H130" s="27"/>
      <c r="I130" s="27"/>
    </row>
    <row r="131" spans="6:9" ht="13.5">
      <c r="F131" s="27"/>
      <c r="G131" s="27"/>
      <c r="H131" s="27"/>
      <c r="I131" s="27"/>
    </row>
    <row r="132" spans="6:9" ht="13.5">
      <c r="F132" s="27"/>
      <c r="G132" s="27"/>
      <c r="H132" s="27"/>
      <c r="I132" s="27"/>
    </row>
    <row r="133" spans="6:9" ht="13.5">
      <c r="F133" s="27"/>
      <c r="G133" s="27"/>
      <c r="H133" s="27"/>
      <c r="I133" s="27"/>
    </row>
    <row r="134" spans="6:9" ht="13.5">
      <c r="F134" s="27"/>
      <c r="G134" s="27"/>
      <c r="H134" s="27"/>
      <c r="I134" s="27"/>
    </row>
    <row r="135" spans="6:9" ht="13.5">
      <c r="F135" s="27"/>
      <c r="G135" s="27"/>
      <c r="H135" s="27"/>
      <c r="I135" s="27"/>
    </row>
    <row r="136" spans="6:9" ht="13.5">
      <c r="F136" s="27"/>
      <c r="G136" s="27"/>
      <c r="H136" s="27"/>
      <c r="I136" s="27"/>
    </row>
    <row r="137" spans="6:9" ht="13.5">
      <c r="F137" s="27"/>
      <c r="G137" s="27"/>
      <c r="H137" s="27"/>
      <c r="I137" s="27"/>
    </row>
    <row r="138" spans="6:9" ht="13.5">
      <c r="F138" s="27"/>
      <c r="G138" s="27"/>
      <c r="H138" s="27"/>
      <c r="I138" s="27"/>
    </row>
    <row r="139" spans="6:9" ht="13.5">
      <c r="F139" s="27"/>
      <c r="G139" s="27"/>
      <c r="H139" s="27"/>
      <c r="I139" s="27"/>
    </row>
    <row r="140" spans="6:9" ht="13.5">
      <c r="F140" s="27"/>
      <c r="G140" s="27"/>
      <c r="H140" s="27"/>
      <c r="I140" s="27"/>
    </row>
    <row r="141" spans="6:9" ht="13.5">
      <c r="F141" s="27"/>
      <c r="G141" s="27"/>
      <c r="H141" s="27"/>
      <c r="I141" s="27"/>
    </row>
    <row r="142" spans="6:9" ht="13.5">
      <c r="F142" s="27"/>
      <c r="G142" s="27"/>
      <c r="H142" s="27"/>
      <c r="I142" s="2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C111"/>
  <sheetViews>
    <sheetView zoomScale="75" zoomScaleNormal="75" workbookViewId="0" topLeftCell="A1">
      <selection activeCell="M9" sqref="M9"/>
    </sheetView>
  </sheetViews>
  <sheetFormatPr defaultColWidth="9.00390625" defaultRowHeight="13.5"/>
  <cols>
    <col min="2" max="2" width="9.875" style="0" customWidth="1"/>
    <col min="5" max="5" width="9.375" style="0" customWidth="1"/>
  </cols>
  <sheetData>
    <row r="1" ht="18">
      <c r="A1" s="18" t="s">
        <v>50</v>
      </c>
    </row>
    <row r="2" spans="2:4" ht="13.5">
      <c r="B2" s="1"/>
      <c r="D2" s="1"/>
    </row>
    <row r="3" spans="2:4" ht="13.5">
      <c r="B3" s="1"/>
      <c r="D3" s="1"/>
    </row>
    <row r="4" spans="2:4" ht="13.5">
      <c r="B4" s="1"/>
      <c r="D4" s="1"/>
    </row>
    <row r="5" spans="2:4" ht="13.5">
      <c r="B5" s="1"/>
      <c r="D5" s="1"/>
    </row>
    <row r="6" spans="2:4" ht="13.5">
      <c r="B6" s="1"/>
      <c r="D6" s="1"/>
    </row>
    <row r="7" spans="2:4" ht="13.5">
      <c r="B7" s="1"/>
      <c r="D7" s="1"/>
    </row>
    <row r="8" spans="2:4" ht="13.5">
      <c r="B8" s="1"/>
      <c r="D8" s="1"/>
    </row>
    <row r="9" spans="2:4" ht="13.5">
      <c r="B9" s="1"/>
      <c r="D9" s="1"/>
    </row>
    <row r="10" spans="2:4" ht="13.5">
      <c r="B10" s="1"/>
      <c r="D10" s="1"/>
    </row>
    <row r="11" spans="2:4" ht="16.5" customHeight="1">
      <c r="B11" s="1"/>
      <c r="D11" s="1"/>
    </row>
    <row r="12" spans="2:4" ht="16.5" customHeight="1">
      <c r="B12" s="1"/>
      <c r="D12" s="1"/>
    </row>
    <row r="13" spans="2:4" ht="13.5">
      <c r="B13" s="1"/>
      <c r="D13" s="1"/>
    </row>
    <row r="14" spans="2:4" ht="13.5">
      <c r="B14" s="1"/>
      <c r="D14" s="1"/>
    </row>
    <row r="15" spans="2:4" ht="13.5">
      <c r="B15" s="1"/>
      <c r="D15" s="1"/>
    </row>
    <row r="16" spans="2:29" ht="13.5">
      <c r="B16" s="1"/>
      <c r="D16" s="1"/>
      <c r="U16" s="1"/>
      <c r="V16" s="48"/>
      <c r="W16" s="49"/>
      <c r="X16" s="49"/>
      <c r="Y16" s="49"/>
      <c r="Z16" s="49"/>
      <c r="AA16" s="1"/>
      <c r="AB16" s="1"/>
      <c r="AC16" s="1"/>
    </row>
    <row r="17" spans="2:29" ht="13.5">
      <c r="B17" s="1"/>
      <c r="D17" s="1"/>
      <c r="S17" s="1"/>
      <c r="T17" s="1"/>
      <c r="U17" s="1"/>
      <c r="V17" s="49"/>
      <c r="W17" s="49"/>
      <c r="X17" s="49"/>
      <c r="Y17" s="49"/>
      <c r="Z17" s="49"/>
      <c r="AA17" s="1"/>
      <c r="AB17" s="1"/>
      <c r="AC17" s="1"/>
    </row>
    <row r="18" spans="2:29" ht="13.5">
      <c r="B18" s="1"/>
      <c r="D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13.5">
      <c r="B19" s="1"/>
      <c r="D19" s="1"/>
      <c r="L19" s="19" t="s">
        <v>61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16.5">
      <c r="B20" s="7" t="s">
        <v>2</v>
      </c>
      <c r="C20" s="8">
        <f>C27</f>
        <v>0.082</v>
      </c>
      <c r="D20" s="2"/>
      <c r="L20" t="s">
        <v>10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6.5">
      <c r="B21" s="9" t="s">
        <v>3</v>
      </c>
      <c r="C21" s="10">
        <f>IF((E21/1000)&gt;C27,E21/1000,C27+0.001)</f>
        <v>0.622</v>
      </c>
      <c r="D21" s="2"/>
      <c r="E21">
        <v>622</v>
      </c>
      <c r="L21" s="20" t="s">
        <v>11</v>
      </c>
      <c r="M21" s="20" t="s">
        <v>43</v>
      </c>
      <c r="N21" s="20" t="s">
        <v>44</v>
      </c>
      <c r="O21" s="20" t="s">
        <v>45</v>
      </c>
      <c r="P21" s="20" t="s">
        <v>46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16.5">
      <c r="B22" s="11" t="s">
        <v>4</v>
      </c>
      <c r="C22" s="12">
        <f>E22/1000</f>
        <v>0.158</v>
      </c>
      <c r="D22" s="2"/>
      <c r="E22">
        <v>158</v>
      </c>
      <c r="L22" s="22" t="s">
        <v>2</v>
      </c>
      <c r="M22" s="20">
        <v>0.045</v>
      </c>
      <c r="N22" s="31">
        <v>0.034</v>
      </c>
      <c r="O22" s="31">
        <v>0.078</v>
      </c>
      <c r="P22" s="31">
        <v>0.068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6.5">
      <c r="B23" s="13" t="s">
        <v>0</v>
      </c>
      <c r="C23" s="14">
        <f>E23/100</f>
        <v>2.73</v>
      </c>
      <c r="D23" s="2"/>
      <c r="E23">
        <v>273</v>
      </c>
      <c r="L23" s="23" t="s">
        <v>3</v>
      </c>
      <c r="M23" s="20">
        <v>0.43</v>
      </c>
      <c r="N23" s="31">
        <v>0.46</v>
      </c>
      <c r="O23" s="31">
        <v>0.43</v>
      </c>
      <c r="P23" s="31">
        <v>0.38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15">
      <c r="B24" s="15" t="s">
        <v>1</v>
      </c>
      <c r="C24" s="12">
        <f>E24/100</f>
        <v>3.51</v>
      </c>
      <c r="D24" s="1"/>
      <c r="E24">
        <v>351</v>
      </c>
      <c r="L24" s="22" t="s">
        <v>4</v>
      </c>
      <c r="M24" s="20">
        <v>0.145</v>
      </c>
      <c r="N24" s="31">
        <v>0.016</v>
      </c>
      <c r="O24" s="31">
        <v>0.036</v>
      </c>
      <c r="P24" s="31">
        <v>0.008</v>
      </c>
      <c r="S24" s="1"/>
      <c r="T24" s="47"/>
      <c r="U24" s="1"/>
      <c r="V24" s="1"/>
      <c r="W24" s="1"/>
      <c r="X24" s="1"/>
      <c r="Y24" s="1"/>
      <c r="Z24" s="1"/>
      <c r="AA24" s="1"/>
      <c r="AB24" s="1"/>
      <c r="AC24" s="1"/>
    </row>
    <row r="25" spans="2:29" ht="16.5">
      <c r="B25" s="32" t="s">
        <v>8</v>
      </c>
      <c r="C25" s="33">
        <f>E25</f>
        <v>724</v>
      </c>
      <c r="D25" s="1"/>
      <c r="E25">
        <v>724</v>
      </c>
      <c r="L25" s="24" t="s">
        <v>0</v>
      </c>
      <c r="M25" s="20">
        <v>2.68</v>
      </c>
      <c r="N25" s="31">
        <v>1.37</v>
      </c>
      <c r="O25" s="31">
        <v>1.56</v>
      </c>
      <c r="P25" s="31">
        <v>1.09</v>
      </c>
      <c r="S25" s="2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6.5">
      <c r="B26" s="11" t="s">
        <v>51</v>
      </c>
      <c r="C26" s="12">
        <f>IF((E26/1000)&lt;C21,C21,E26/1000)</f>
        <v>0.707</v>
      </c>
      <c r="D26" s="1"/>
      <c r="E26">
        <v>707</v>
      </c>
      <c r="L26" s="25" t="s">
        <v>1</v>
      </c>
      <c r="M26" s="20">
        <v>0.5</v>
      </c>
      <c r="N26" s="20">
        <v>0.5</v>
      </c>
      <c r="O26" s="20">
        <v>0.5</v>
      </c>
      <c r="P26" s="20">
        <v>0.5</v>
      </c>
      <c r="S26" s="2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6.5">
      <c r="B27" s="36" t="s">
        <v>52</v>
      </c>
      <c r="C27" s="37">
        <f>E27/1000</f>
        <v>0.082</v>
      </c>
      <c r="E27">
        <v>82</v>
      </c>
      <c r="L27" s="26" t="s">
        <v>60</v>
      </c>
      <c r="M27" s="20">
        <v>712.8</v>
      </c>
      <c r="N27" s="31">
        <v>6</v>
      </c>
      <c r="O27" s="31">
        <v>24.96</v>
      </c>
      <c r="P27" s="31">
        <v>4.8</v>
      </c>
      <c r="S27" s="2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6.5">
      <c r="B28" s="11" t="s">
        <v>53</v>
      </c>
      <c r="C28" s="12">
        <f>IF((E28/1000)&gt;C21,C21,IF((E28/1000)&gt;C20,E28/1000,C20+0.001))</f>
        <v>0.519</v>
      </c>
      <c r="E28">
        <v>519</v>
      </c>
      <c r="L28" s="22" t="s">
        <v>51</v>
      </c>
      <c r="M28" s="20">
        <v>0.43</v>
      </c>
      <c r="N28" s="31">
        <v>0.46</v>
      </c>
      <c r="O28" s="31">
        <v>0.43</v>
      </c>
      <c r="P28" s="31">
        <v>0.38</v>
      </c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6.5">
      <c r="B29" s="38" t="s">
        <v>54</v>
      </c>
      <c r="C29" s="39">
        <f>E29</f>
        <v>547</v>
      </c>
      <c r="E29">
        <v>547</v>
      </c>
      <c r="L29" s="45" t="s">
        <v>52</v>
      </c>
      <c r="M29" s="31">
        <v>0.045</v>
      </c>
      <c r="N29" s="31">
        <v>0.034</v>
      </c>
      <c r="O29" s="31">
        <v>0.078</v>
      </c>
      <c r="P29" s="31">
        <v>0.068</v>
      </c>
      <c r="S29" s="2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6.5">
      <c r="B30" s="15" t="s">
        <v>55</v>
      </c>
      <c r="C30" s="42">
        <f>(((($C$26-$C$27)/($C$21-$C$27))^(1/(1-1/$C$23))-1)^(1/$C$23))/$C$22</f>
        <v>3.8611365144440057</v>
      </c>
      <c r="L30" s="22" t="s">
        <v>53</v>
      </c>
      <c r="M30" s="31">
        <v>0.43</v>
      </c>
      <c r="N30" s="31">
        <v>0.46</v>
      </c>
      <c r="O30" s="31">
        <v>0.43</v>
      </c>
      <c r="P30" s="31">
        <v>0.38</v>
      </c>
      <c r="S30" s="2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6.5">
      <c r="B31" s="15" t="s">
        <v>56</v>
      </c>
      <c r="C31" s="42">
        <f>(((($C$26-$C$27)/($C$28-$C$27))^(1/(1-1/$C$23))-1)^(1/$C$23))/$C$22</f>
        <v>5.720581906424833</v>
      </c>
      <c r="L31" s="46" t="s">
        <v>54</v>
      </c>
      <c r="M31" s="31">
        <v>712.8</v>
      </c>
      <c r="N31" s="31">
        <v>6</v>
      </c>
      <c r="O31" s="31">
        <v>24.96</v>
      </c>
      <c r="P31" s="31">
        <v>4.8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6.5">
      <c r="A32" s="1"/>
      <c r="B32" s="15" t="s">
        <v>57</v>
      </c>
      <c r="C32" s="43">
        <f>1-(1-(($C$20-$C$27)/($C$26-$C$27))^(1/(1-1/$C$23)))^(1-1/$C$23)</f>
        <v>0</v>
      </c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6.5">
      <c r="A33" s="1"/>
      <c r="B33" s="15" t="s">
        <v>58</v>
      </c>
      <c r="C33" s="43">
        <f>1-(1-(($C$28-$C$27)/($C$26-$C$27))^(1/(1-1/$C$23)))^$D$73</f>
        <v>0.3533995336725625</v>
      </c>
      <c r="D33" s="1"/>
      <c r="E33" s="1"/>
      <c r="F33" s="1"/>
      <c r="G33" s="1"/>
      <c r="H33" s="1"/>
      <c r="I33" s="1"/>
      <c r="J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3" ht="16.5">
      <c r="B34" s="40" t="s">
        <v>67</v>
      </c>
      <c r="C34" s="44">
        <f>(C28-C20)/(C21-C20)</f>
        <v>0.8092592592592592</v>
      </c>
    </row>
    <row r="35" ht="15">
      <c r="B35" s="41"/>
    </row>
    <row r="59" spans="1:8" ht="16.5">
      <c r="A59" s="4" t="s">
        <v>48</v>
      </c>
      <c r="B59" s="3" t="s">
        <v>49</v>
      </c>
      <c r="C59" s="3" t="s">
        <v>49</v>
      </c>
      <c r="D59" s="5" t="s">
        <v>5</v>
      </c>
      <c r="E59" s="5" t="s">
        <v>59</v>
      </c>
      <c r="F59" s="5" t="s">
        <v>9</v>
      </c>
      <c r="G59" s="5" t="s">
        <v>9</v>
      </c>
      <c r="H59" s="5" t="s">
        <v>9</v>
      </c>
    </row>
    <row r="60" spans="1:8" ht="13.5">
      <c r="A60">
        <v>0</v>
      </c>
      <c r="B60">
        <f aca="true" t="shared" si="0" ref="B60:B91">C$27+((C$26-C$27)/((1+(C$22*A60)^C$23))^(1-1/C$23))</f>
        <v>0.707</v>
      </c>
      <c r="C60">
        <f aca="true" t="shared" si="1" ref="C60:C91">IF(B60&gt;C$21,C$21,B60)</f>
        <v>0.622</v>
      </c>
      <c r="D60">
        <f>(C60-C$20)/(C$21-C$20)</f>
        <v>1</v>
      </c>
      <c r="E60">
        <f aca="true" t="shared" si="2" ref="E60:E91">1-(1-((C60-C$27)/(C$26-C$27))^(1/(1-1/C$23)))^(1-1/C$23)</f>
        <v>0.6325419853755766</v>
      </c>
      <c r="F60">
        <f aca="true" t="shared" si="3" ref="F60:F91">C$29+((A60-C$31)*(C$25-C$29))/(C$30-C$31)</f>
        <v>1091.5403246602232</v>
      </c>
      <c r="G60">
        <f aca="true" t="shared" si="4" ref="G60:G91">(C$29*(D60/C$34)^C$24)*((C$32-E60)/(C$32-C$33))^2</f>
        <v>3683.3785111978577</v>
      </c>
      <c r="H60">
        <f aca="true" t="shared" si="5" ref="H60:H91">IF(A60&lt;C$30,C$25,IF(A60&lt;C$31,F60,G60))</f>
        <v>724</v>
      </c>
    </row>
    <row r="61" spans="1:8" ht="13.5">
      <c r="A61">
        <v>1</v>
      </c>
      <c r="B61">
        <f t="shared" si="0"/>
        <v>0.7044425833551455</v>
      </c>
      <c r="C61">
        <f t="shared" si="1"/>
        <v>0.622</v>
      </c>
      <c r="D61">
        <f aca="true" t="shared" si="6" ref="D61:D91">(C61-C$20)/(C$21-C$20)</f>
        <v>1</v>
      </c>
      <c r="E61">
        <f t="shared" si="2"/>
        <v>0.6325419853755766</v>
      </c>
      <c r="F61">
        <f t="shared" si="3"/>
        <v>996.3506510277828</v>
      </c>
      <c r="G61">
        <f t="shared" si="4"/>
        <v>3683.3785111978577</v>
      </c>
      <c r="H61">
        <f t="shared" si="5"/>
        <v>724</v>
      </c>
    </row>
    <row r="62" spans="1:8" ht="13.5">
      <c r="A62">
        <f aca="true" t="shared" si="7" ref="A62:A93">A61*1.2</f>
        <v>1.2</v>
      </c>
      <c r="B62">
        <f t="shared" si="0"/>
        <v>0.7028073090541143</v>
      </c>
      <c r="C62">
        <f t="shared" si="1"/>
        <v>0.622</v>
      </c>
      <c r="D62">
        <f t="shared" si="6"/>
        <v>1</v>
      </c>
      <c r="E62">
        <f t="shared" si="2"/>
        <v>0.6325419853755766</v>
      </c>
      <c r="F62">
        <f t="shared" si="3"/>
        <v>977.3127163012946</v>
      </c>
      <c r="G62">
        <f t="shared" si="4"/>
        <v>3683.3785111978577</v>
      </c>
      <c r="H62">
        <f t="shared" si="5"/>
        <v>724</v>
      </c>
    </row>
    <row r="63" spans="1:8" ht="13.5">
      <c r="A63">
        <f t="shared" si="7"/>
        <v>1.44</v>
      </c>
      <c r="B63">
        <f t="shared" si="0"/>
        <v>0.7001412294324982</v>
      </c>
      <c r="C63">
        <f t="shared" si="1"/>
        <v>0.622</v>
      </c>
      <c r="D63">
        <f t="shared" si="6"/>
        <v>1</v>
      </c>
      <c r="E63">
        <f t="shared" si="2"/>
        <v>0.6325419853755766</v>
      </c>
      <c r="F63">
        <f t="shared" si="3"/>
        <v>954.4671946295091</v>
      </c>
      <c r="G63">
        <f t="shared" si="4"/>
        <v>3683.3785111978577</v>
      </c>
      <c r="H63">
        <f t="shared" si="5"/>
        <v>724</v>
      </c>
    </row>
    <row r="64" spans="1:8" ht="13.5">
      <c r="A64">
        <f t="shared" si="7"/>
        <v>1.728</v>
      </c>
      <c r="B64">
        <f t="shared" si="0"/>
        <v>0.695819080613975</v>
      </c>
      <c r="C64">
        <f t="shared" si="1"/>
        <v>0.622</v>
      </c>
      <c r="D64">
        <f t="shared" si="6"/>
        <v>1</v>
      </c>
      <c r="E64">
        <f t="shared" si="2"/>
        <v>0.6325419853755766</v>
      </c>
      <c r="F64">
        <f t="shared" si="3"/>
        <v>927.0525686233661</v>
      </c>
      <c r="G64">
        <f t="shared" si="4"/>
        <v>3683.3785111978577</v>
      </c>
      <c r="H64">
        <f t="shared" si="5"/>
        <v>724</v>
      </c>
    </row>
    <row r="65" spans="1:8" ht="13.5">
      <c r="A65">
        <f t="shared" si="7"/>
        <v>2.0736</v>
      </c>
      <c r="B65">
        <f t="shared" si="0"/>
        <v>0.6888757825586634</v>
      </c>
      <c r="C65">
        <f t="shared" si="1"/>
        <v>0.622</v>
      </c>
      <c r="D65">
        <f t="shared" si="6"/>
        <v>1</v>
      </c>
      <c r="E65">
        <f t="shared" si="2"/>
        <v>0.6325419853755766</v>
      </c>
      <c r="F65">
        <f t="shared" si="3"/>
        <v>894.1550174159948</v>
      </c>
      <c r="G65">
        <f t="shared" si="4"/>
        <v>3683.3785111978577</v>
      </c>
      <c r="H65">
        <f t="shared" si="5"/>
        <v>724</v>
      </c>
    </row>
    <row r="66" spans="1:8" ht="13.5">
      <c r="A66">
        <f t="shared" si="7"/>
        <v>2.48832</v>
      </c>
      <c r="B66">
        <f t="shared" si="0"/>
        <v>0.6778826119310342</v>
      </c>
      <c r="C66">
        <f t="shared" si="1"/>
        <v>0.622</v>
      </c>
      <c r="D66">
        <f t="shared" si="6"/>
        <v>1</v>
      </c>
      <c r="E66">
        <f t="shared" si="2"/>
        <v>0.6325419853755766</v>
      </c>
      <c r="F66">
        <f t="shared" si="3"/>
        <v>854.6779559671493</v>
      </c>
      <c r="G66">
        <f t="shared" si="4"/>
        <v>3683.3785111978577</v>
      </c>
      <c r="H66">
        <f t="shared" si="5"/>
        <v>724</v>
      </c>
    </row>
    <row r="67" spans="1:8" ht="13.5">
      <c r="A67">
        <f t="shared" si="7"/>
        <v>2.9859839999999997</v>
      </c>
      <c r="B67">
        <f t="shared" si="0"/>
        <v>0.6608679574809776</v>
      </c>
      <c r="C67">
        <f t="shared" si="1"/>
        <v>0.622</v>
      </c>
      <c r="D67">
        <f t="shared" si="6"/>
        <v>1</v>
      </c>
      <c r="E67">
        <f t="shared" si="2"/>
        <v>0.6325419853755766</v>
      </c>
      <c r="F67">
        <f t="shared" si="3"/>
        <v>807.3054822285344</v>
      </c>
      <c r="G67">
        <f t="shared" si="4"/>
        <v>3683.3785111978577</v>
      </c>
      <c r="H67">
        <f t="shared" si="5"/>
        <v>724</v>
      </c>
    </row>
    <row r="68" spans="1:8" ht="13.5">
      <c r="A68">
        <f t="shared" si="7"/>
        <v>3.5831807999999996</v>
      </c>
      <c r="B68">
        <f t="shared" si="0"/>
        <v>0.6354245278075084</v>
      </c>
      <c r="C68">
        <f t="shared" si="1"/>
        <v>0.622</v>
      </c>
      <c r="D68">
        <f t="shared" si="6"/>
        <v>1</v>
      </c>
      <c r="E68">
        <f t="shared" si="2"/>
        <v>0.6325419853755766</v>
      </c>
      <c r="F68">
        <f t="shared" si="3"/>
        <v>750.4585137421967</v>
      </c>
      <c r="G68">
        <f t="shared" si="4"/>
        <v>3683.3785111978577</v>
      </c>
      <c r="H68">
        <f t="shared" si="5"/>
        <v>724</v>
      </c>
    </row>
    <row r="69" spans="1:8" ht="13.5">
      <c r="A69">
        <f t="shared" si="7"/>
        <v>4.299816959999999</v>
      </c>
      <c r="B69">
        <f t="shared" si="0"/>
        <v>0.59922991369396</v>
      </c>
      <c r="C69">
        <f t="shared" si="1"/>
        <v>0.59922991369396</v>
      </c>
      <c r="D69">
        <f t="shared" si="6"/>
        <v>0.9578331735073332</v>
      </c>
      <c r="E69">
        <f t="shared" si="2"/>
        <v>0.5760166299996569</v>
      </c>
      <c r="F69">
        <f t="shared" si="3"/>
        <v>682.2421515585914</v>
      </c>
      <c r="G69">
        <f t="shared" si="4"/>
        <v>2625.8211256419577</v>
      </c>
      <c r="H69">
        <f t="shared" si="5"/>
        <v>682.2421515585914</v>
      </c>
    </row>
    <row r="70" spans="1:8" ht="13.5">
      <c r="A70">
        <f t="shared" si="7"/>
        <v>5.159780351999999</v>
      </c>
      <c r="B70">
        <f t="shared" si="0"/>
        <v>0.5511276174027869</v>
      </c>
      <c r="C70">
        <f t="shared" si="1"/>
        <v>0.5511276174027869</v>
      </c>
      <c r="D70">
        <f t="shared" si="6"/>
        <v>0.868754847042198</v>
      </c>
      <c r="E70">
        <f t="shared" si="2"/>
        <v>0.472843283132638</v>
      </c>
      <c r="F70">
        <f t="shared" si="3"/>
        <v>600.3825169382651</v>
      </c>
      <c r="G70">
        <f t="shared" si="4"/>
        <v>1256.1207746900038</v>
      </c>
      <c r="H70">
        <f t="shared" si="5"/>
        <v>600.3825169382651</v>
      </c>
    </row>
    <row r="71" spans="1:8" ht="13.5">
      <c r="A71" s="1">
        <f t="shared" si="7"/>
        <v>6.191736422399999</v>
      </c>
      <c r="B71">
        <f t="shared" si="0"/>
        <v>0.49242878245663796</v>
      </c>
      <c r="C71">
        <f t="shared" si="1"/>
        <v>0.49242878245663796</v>
      </c>
      <c r="D71">
        <f t="shared" si="6"/>
        <v>0.7600533008456257</v>
      </c>
      <c r="E71">
        <f t="shared" si="2"/>
        <v>0.36777726530864374</v>
      </c>
      <c r="F71">
        <f t="shared" si="3"/>
        <v>502.1509553938736</v>
      </c>
      <c r="G71">
        <f t="shared" si="4"/>
        <v>475.3352339247564</v>
      </c>
      <c r="H71">
        <f t="shared" si="5"/>
        <v>475.3352339247564</v>
      </c>
    </row>
    <row r="72" spans="1:8" ht="13.5">
      <c r="A72" s="1">
        <f t="shared" si="7"/>
        <v>7.430083706879999</v>
      </c>
      <c r="B72">
        <f t="shared" si="0"/>
        <v>0.4274036482742337</v>
      </c>
      <c r="C72">
        <f t="shared" si="1"/>
        <v>0.4274036482742337</v>
      </c>
      <c r="D72">
        <f t="shared" si="6"/>
        <v>0.6396363856930253</v>
      </c>
      <c r="E72">
        <f t="shared" si="2"/>
        <v>0.2706385993546838</v>
      </c>
      <c r="F72">
        <f t="shared" si="3"/>
        <v>384.2730815406037</v>
      </c>
      <c r="G72">
        <f t="shared" si="4"/>
        <v>140.4987639120786</v>
      </c>
      <c r="H72">
        <f t="shared" si="5"/>
        <v>140.4987639120786</v>
      </c>
    </row>
    <row r="73" spans="1:8" ht="13.5">
      <c r="A73" s="1">
        <f t="shared" si="7"/>
        <v>8.916100448255998</v>
      </c>
      <c r="B73">
        <f t="shared" si="0"/>
        <v>0.36209452006430554</v>
      </c>
      <c r="C73">
        <f t="shared" si="1"/>
        <v>0.36209452006430554</v>
      </c>
      <c r="D73">
        <f t="shared" si="6"/>
        <v>0.5186935556746398</v>
      </c>
      <c r="E73">
        <f t="shared" si="2"/>
        <v>0.18921814057874753</v>
      </c>
      <c r="F73">
        <f t="shared" si="3"/>
        <v>242.8196329166799</v>
      </c>
      <c r="G73">
        <f t="shared" si="4"/>
        <v>32.91018076261996</v>
      </c>
      <c r="H73">
        <f t="shared" si="5"/>
        <v>32.91018076261996</v>
      </c>
    </row>
    <row r="74" spans="1:8" ht="13.5">
      <c r="A74">
        <f t="shared" si="7"/>
        <v>10.699320537907196</v>
      </c>
      <c r="B74">
        <f t="shared" si="0"/>
        <v>0.30206174457665685</v>
      </c>
      <c r="C74">
        <f t="shared" si="1"/>
        <v>0.30206174457665685</v>
      </c>
      <c r="D74">
        <f t="shared" si="6"/>
        <v>0.4075217492160311</v>
      </c>
      <c r="E74">
        <f t="shared" si="2"/>
        <v>0.1267722706521719</v>
      </c>
      <c r="F74">
        <f t="shared" si="3"/>
        <v>73.0754945679713</v>
      </c>
      <c r="G74">
        <f t="shared" si="4"/>
        <v>6.334982984739261</v>
      </c>
      <c r="H74">
        <f t="shared" si="5"/>
        <v>6.334982984739261</v>
      </c>
    </row>
    <row r="75" spans="1:8" ht="13.5">
      <c r="A75">
        <f t="shared" si="7"/>
        <v>12.839184645488634</v>
      </c>
      <c r="B75">
        <f t="shared" si="0"/>
        <v>0.25072101928612</v>
      </c>
      <c r="C75">
        <f t="shared" si="1"/>
        <v>0.25072101928612</v>
      </c>
      <c r="D75">
        <f t="shared" si="6"/>
        <v>0.3124463320113333</v>
      </c>
      <c r="E75">
        <f t="shared" si="2"/>
        <v>0.08222607912531232</v>
      </c>
      <c r="F75">
        <f t="shared" si="3"/>
        <v>-130.617471450479</v>
      </c>
      <c r="G75">
        <f t="shared" si="4"/>
        <v>1.0489349602872047</v>
      </c>
      <c r="H75">
        <f t="shared" si="5"/>
        <v>1.0489349602872047</v>
      </c>
    </row>
    <row r="76" spans="1:8" ht="13.5">
      <c r="A76">
        <f t="shared" si="7"/>
        <v>15.407021574586361</v>
      </c>
      <c r="B76">
        <f t="shared" si="0"/>
        <v>0.20911643696786464</v>
      </c>
      <c r="C76">
        <f t="shared" si="1"/>
        <v>0.20911643696786464</v>
      </c>
      <c r="D76">
        <f t="shared" si="6"/>
        <v>0.2354008091997493</v>
      </c>
      <c r="E76">
        <f t="shared" si="2"/>
        <v>0.052123427972843195</v>
      </c>
      <c r="F76">
        <f t="shared" si="3"/>
        <v>-375.0490306726193</v>
      </c>
      <c r="G76">
        <f t="shared" si="4"/>
        <v>0.15601971663191316</v>
      </c>
      <c r="H76">
        <f t="shared" si="5"/>
        <v>0.15601971663191316</v>
      </c>
    </row>
    <row r="77" spans="1:8" ht="13.5">
      <c r="A77">
        <f t="shared" si="7"/>
        <v>18.48842588950363</v>
      </c>
      <c r="B77">
        <f t="shared" si="0"/>
        <v>0.1766457486309322</v>
      </c>
      <c r="C77">
        <f t="shared" si="1"/>
        <v>0.1766457486309322</v>
      </c>
      <c r="D77">
        <f t="shared" si="6"/>
        <v>0.17526990487209662</v>
      </c>
      <c r="E77">
        <f t="shared" si="2"/>
        <v>0.0325361540191792</v>
      </c>
      <c r="F77">
        <f t="shared" si="3"/>
        <v>-668.3669017391876</v>
      </c>
      <c r="G77">
        <f t="shared" si="4"/>
        <v>0.021588022781255413</v>
      </c>
      <c r="H77">
        <f t="shared" si="5"/>
        <v>0.021588022781255413</v>
      </c>
    </row>
    <row r="78" spans="1:8" ht="13.5">
      <c r="A78">
        <f t="shared" si="7"/>
        <v>22.186111067404358</v>
      </c>
      <c r="B78">
        <f t="shared" si="0"/>
        <v>0.1519296076974503</v>
      </c>
      <c r="C78">
        <f t="shared" si="1"/>
        <v>0.1519296076974503</v>
      </c>
      <c r="D78">
        <f t="shared" si="6"/>
        <v>0.1294992735137968</v>
      </c>
      <c r="E78">
        <f t="shared" si="2"/>
        <v>0.020107843892025468</v>
      </c>
      <c r="F78">
        <f t="shared" si="3"/>
        <v>-1020.3483470190697</v>
      </c>
      <c r="G78">
        <f t="shared" si="4"/>
        <v>0.002850079541229726</v>
      </c>
      <c r="H78">
        <f t="shared" si="5"/>
        <v>0.002850079541229726</v>
      </c>
    </row>
    <row r="79" spans="1:8" ht="13.5">
      <c r="A79">
        <f t="shared" si="7"/>
        <v>26.62333328088523</v>
      </c>
      <c r="B79">
        <f t="shared" si="0"/>
        <v>0.13341654293690652</v>
      </c>
      <c r="C79">
        <f t="shared" si="1"/>
        <v>0.13341654293690652</v>
      </c>
      <c r="D79">
        <f t="shared" si="6"/>
        <v>0.09521582025353059</v>
      </c>
      <c r="E79">
        <f t="shared" si="2"/>
        <v>0.01234874960069654</v>
      </c>
      <c r="F79">
        <f t="shared" si="3"/>
        <v>-1442.7260813549283</v>
      </c>
      <c r="G79">
        <f t="shared" si="4"/>
        <v>0.0003652435800587596</v>
      </c>
      <c r="H79">
        <f t="shared" si="5"/>
        <v>0.0003652435800587596</v>
      </c>
    </row>
    <row r="80" spans="1:8" ht="13.5">
      <c r="A80">
        <f t="shared" si="7"/>
        <v>31.947999937062274</v>
      </c>
      <c r="B80">
        <f t="shared" si="0"/>
        <v>0.11968969499821264</v>
      </c>
      <c r="C80">
        <f t="shared" si="1"/>
        <v>0.11968969499821264</v>
      </c>
      <c r="D80">
        <f t="shared" si="6"/>
        <v>0.06979573147817154</v>
      </c>
      <c r="E80">
        <f t="shared" si="2"/>
        <v>0.007553913253713351</v>
      </c>
      <c r="F80">
        <f t="shared" si="3"/>
        <v>-1949.5793625579586</v>
      </c>
      <c r="G80">
        <f t="shared" si="4"/>
        <v>4.594634099881045E-05</v>
      </c>
      <c r="H80">
        <f t="shared" si="5"/>
        <v>4.594634099881045E-05</v>
      </c>
    </row>
    <row r="81" spans="1:8" ht="13.5">
      <c r="A81">
        <f t="shared" si="7"/>
        <v>38.33759992447473</v>
      </c>
      <c r="B81">
        <f t="shared" si="0"/>
        <v>0.10957563846017321</v>
      </c>
      <c r="C81">
        <f t="shared" si="1"/>
        <v>0.10957563846017321</v>
      </c>
      <c r="D81">
        <f t="shared" si="6"/>
        <v>0.05106599714846889</v>
      </c>
      <c r="E81">
        <f t="shared" si="2"/>
        <v>0.004609634580661104</v>
      </c>
      <c r="F81">
        <f t="shared" si="3"/>
        <v>-2557.803300001595</v>
      </c>
      <c r="G81">
        <f t="shared" si="4"/>
        <v>5.714040439851149E-06</v>
      </c>
      <c r="H81">
        <f t="shared" si="5"/>
        <v>5.714040439851149E-06</v>
      </c>
    </row>
    <row r="82" spans="1:8" ht="13.5">
      <c r="A82">
        <f t="shared" si="7"/>
        <v>46.005119909369675</v>
      </c>
      <c r="B82">
        <f t="shared" si="0"/>
        <v>0.10215241251958984</v>
      </c>
      <c r="C82">
        <f t="shared" si="1"/>
        <v>0.10215241251958984</v>
      </c>
      <c r="D82">
        <f t="shared" si="6"/>
        <v>0.03731928244368488</v>
      </c>
      <c r="E82">
        <f t="shared" si="2"/>
        <v>0.0028087557131486474</v>
      </c>
      <c r="F82">
        <f t="shared" si="3"/>
        <v>-3287.6720249339583</v>
      </c>
      <c r="G82">
        <f t="shared" si="4"/>
        <v>7.056370935210643E-07</v>
      </c>
      <c r="H82">
        <f t="shared" si="5"/>
        <v>7.056370935210643E-07</v>
      </c>
    </row>
    <row r="83" spans="1:8" ht="13.5">
      <c r="A83">
        <f t="shared" si="7"/>
        <v>55.206143891243606</v>
      </c>
      <c r="B83">
        <f t="shared" si="0"/>
        <v>0.09671708522745594</v>
      </c>
      <c r="C83">
        <f t="shared" si="1"/>
        <v>0.09671708522745594</v>
      </c>
      <c r="D83">
        <f t="shared" si="6"/>
        <v>0.027253861532325802</v>
      </c>
      <c r="E83">
        <f t="shared" si="2"/>
        <v>0.0017098808919253639</v>
      </c>
      <c r="F83">
        <f t="shared" si="3"/>
        <v>-4163.514494852794</v>
      </c>
      <c r="G83">
        <f t="shared" si="4"/>
        <v>8.676644256965515E-08</v>
      </c>
      <c r="H83">
        <f t="shared" si="5"/>
        <v>8.676644256965515E-08</v>
      </c>
    </row>
    <row r="84" spans="1:8" ht="13.5">
      <c r="A84">
        <f t="shared" si="7"/>
        <v>66.24737266949232</v>
      </c>
      <c r="B84">
        <f t="shared" si="0"/>
        <v>0.09274309525273787</v>
      </c>
      <c r="C84">
        <f t="shared" si="1"/>
        <v>0.09274309525273787</v>
      </c>
      <c r="D84">
        <f t="shared" si="6"/>
        <v>0.019894620838403456</v>
      </c>
      <c r="E84">
        <f t="shared" si="2"/>
        <v>0.0010403427368391727</v>
      </c>
      <c r="F84">
        <f t="shared" si="3"/>
        <v>-5214.525458755397</v>
      </c>
      <c r="G84">
        <f t="shared" si="4"/>
        <v>1.0641006389084903E-08</v>
      </c>
      <c r="H84">
        <f t="shared" si="5"/>
        <v>1.0641006389084903E-08</v>
      </c>
    </row>
    <row r="85" spans="1:8" ht="13.5">
      <c r="A85">
        <f t="shared" si="7"/>
        <v>79.49684720339079</v>
      </c>
      <c r="B85">
        <f t="shared" si="0"/>
        <v>0.08984012576290104</v>
      </c>
      <c r="C85">
        <f t="shared" si="1"/>
        <v>0.08984012576290104</v>
      </c>
      <c r="D85">
        <f t="shared" si="6"/>
        <v>0.014518751412779697</v>
      </c>
      <c r="E85">
        <f t="shared" si="2"/>
        <v>0.0006327614558160333</v>
      </c>
      <c r="F85">
        <f t="shared" si="3"/>
        <v>-6475.738615438521</v>
      </c>
      <c r="G85">
        <f t="shared" si="4"/>
        <v>1.3029249606406682E-09</v>
      </c>
      <c r="H85">
        <f t="shared" si="5"/>
        <v>1.3029249606406682E-09</v>
      </c>
    </row>
    <row r="86" spans="1:8" ht="13.5">
      <c r="A86">
        <f t="shared" si="7"/>
        <v>95.39621664406894</v>
      </c>
      <c r="B86">
        <f t="shared" si="0"/>
        <v>0.08772067433063074</v>
      </c>
      <c r="C86">
        <f t="shared" si="1"/>
        <v>0.08772067433063074</v>
      </c>
      <c r="D86">
        <f t="shared" si="6"/>
        <v>0.010593841353019889</v>
      </c>
      <c r="E86">
        <f t="shared" si="2"/>
        <v>0.0003847814392975435</v>
      </c>
      <c r="F86">
        <f t="shared" si="3"/>
        <v>-7989.19440345827</v>
      </c>
      <c r="G86">
        <f t="shared" si="4"/>
        <v>1.5937989149315122E-10</v>
      </c>
      <c r="H86">
        <f t="shared" si="5"/>
        <v>1.5937989149315122E-10</v>
      </c>
    </row>
    <row r="87" spans="1:8" ht="13.5">
      <c r="A87">
        <f t="shared" si="7"/>
        <v>114.47545997288273</v>
      </c>
      <c r="B87">
        <f t="shared" si="0"/>
        <v>0.08617377652518729</v>
      </c>
      <c r="C87">
        <f t="shared" si="1"/>
        <v>0.08617377652518729</v>
      </c>
      <c r="D87">
        <f t="shared" si="6"/>
        <v>0.007729215787383863</v>
      </c>
      <c r="E87">
        <f t="shared" si="2"/>
        <v>0.00023395577827367564</v>
      </c>
      <c r="F87">
        <f t="shared" si="3"/>
        <v>-9805.34134908197</v>
      </c>
      <c r="G87">
        <f t="shared" si="4"/>
        <v>1.9484557823511366E-11</v>
      </c>
      <c r="H87">
        <f t="shared" si="5"/>
        <v>1.9484557823511366E-11</v>
      </c>
    </row>
    <row r="88" spans="1:8" ht="13.5">
      <c r="A88">
        <f t="shared" si="7"/>
        <v>137.37055196745928</v>
      </c>
      <c r="B88">
        <f t="shared" si="0"/>
        <v>0.08504498723105605</v>
      </c>
      <c r="C88">
        <f t="shared" si="1"/>
        <v>0.08504498723105605</v>
      </c>
      <c r="D88">
        <f t="shared" si="6"/>
        <v>0.005638865242696385</v>
      </c>
      <c r="E88">
        <f t="shared" si="2"/>
        <v>0.00014223953660552624</v>
      </c>
      <c r="F88">
        <f t="shared" si="3"/>
        <v>-11984.717683830408</v>
      </c>
      <c r="G88">
        <f t="shared" si="4"/>
        <v>2.3811744609140668E-12</v>
      </c>
      <c r="H88">
        <f t="shared" si="5"/>
        <v>2.3811744609140668E-12</v>
      </c>
    </row>
    <row r="89" spans="1:8" ht="13.5">
      <c r="A89">
        <f t="shared" si="7"/>
        <v>164.84466236095113</v>
      </c>
      <c r="B89">
        <f t="shared" si="0"/>
        <v>0.08422139679765567</v>
      </c>
      <c r="C89">
        <f t="shared" si="1"/>
        <v>0.08422139679765567</v>
      </c>
      <c r="D89">
        <f t="shared" si="6"/>
        <v>0.004113697773436415</v>
      </c>
      <c r="E89">
        <f t="shared" si="2"/>
        <v>8.647423906693597E-05</v>
      </c>
      <c r="F89">
        <f t="shared" si="3"/>
        <v>-14599.969285528534</v>
      </c>
      <c r="G89">
        <f t="shared" si="4"/>
        <v>2.909355508750581E-13</v>
      </c>
      <c r="H89">
        <f t="shared" si="5"/>
        <v>2.909355508750581E-13</v>
      </c>
    </row>
    <row r="90" spans="1:8" ht="13.5">
      <c r="A90">
        <f t="shared" si="7"/>
        <v>197.81359483314137</v>
      </c>
      <c r="B90">
        <f t="shared" si="0"/>
        <v>0.08362053087980897</v>
      </c>
      <c r="C90">
        <f t="shared" si="1"/>
        <v>0.08362053087980897</v>
      </c>
      <c r="D90">
        <f t="shared" si="6"/>
        <v>0.003000983110757353</v>
      </c>
      <c r="E90">
        <f t="shared" si="2"/>
        <v>5.2570357291670256E-05</v>
      </c>
      <c r="F90">
        <f t="shared" si="3"/>
        <v>-17738.271207566286</v>
      </c>
      <c r="G90">
        <f t="shared" si="4"/>
        <v>3.554222056549203E-14</v>
      </c>
      <c r="H90">
        <f t="shared" si="5"/>
        <v>3.554222056549203E-14</v>
      </c>
    </row>
    <row r="91" spans="1:8" ht="13.5">
      <c r="A91">
        <f t="shared" si="7"/>
        <v>237.37631379976963</v>
      </c>
      <c r="B91">
        <f t="shared" si="0"/>
        <v>0.08318217754919444</v>
      </c>
      <c r="C91">
        <f t="shared" si="1"/>
        <v>0.08318217754919444</v>
      </c>
      <c r="D91">
        <f t="shared" si="6"/>
        <v>0.0021892176836933934</v>
      </c>
      <c r="E91">
        <f t="shared" si="2"/>
        <v>3.19585941267464E-05</v>
      </c>
      <c r="F91">
        <f t="shared" si="3"/>
        <v>-21504.233514011587</v>
      </c>
      <c r="G91">
        <f t="shared" si="4"/>
        <v>4.341673629739063E-15</v>
      </c>
      <c r="H91">
        <f t="shared" si="5"/>
        <v>4.341673629739063E-15</v>
      </c>
    </row>
    <row r="92" spans="1:8" ht="13.5">
      <c r="A92">
        <f t="shared" si="7"/>
        <v>284.8515765597235</v>
      </c>
      <c r="B92">
        <f aca="true" t="shared" si="8" ref="B92:B111">C$27+((C$26-C$27)/((1+(C$22*A92)^C$23))^(1-1/C$23))</f>
        <v>0.0828623917511299</v>
      </c>
      <c r="C92">
        <f aca="true" t="shared" si="9" ref="C92:C111">IF(B92&gt;C$21,C$21,B92)</f>
        <v>0.0828623917511299</v>
      </c>
      <c r="D92">
        <f aca="true" t="shared" si="10" ref="D92:D111">(C92-C$20)/(C$21-C$20)</f>
        <v>0.0015970217613516637</v>
      </c>
      <c r="E92">
        <f aca="true" t="shared" si="11" ref="E92:E111">1-(1-((C92-C$27)/(C$26-C$27))^(1/(1-1/C$23)))^(1-1/C$23)</f>
        <v>1.9428079837235934E-05</v>
      </c>
      <c r="F92">
        <f aca="true" t="shared" si="12" ref="F92:F111">C$29+((A92-C$31)*(C$25-C$29))/(C$30-C$31)</f>
        <v>-26023.38828174594</v>
      </c>
      <c r="G92">
        <f aca="true" t="shared" si="13" ref="G92:G111">(C$29*(D92/C$34)^C$24)*((C$32-E92)/(C$32-C$33))^2</f>
        <v>5.303327186221438E-16</v>
      </c>
      <c r="H92">
        <f aca="true" t="shared" si="14" ref="H92:H111">IF(A92&lt;C$30,C$25,IF(A92&lt;C$31,F92,G92))</f>
        <v>5.303327186221438E-16</v>
      </c>
    </row>
    <row r="93" spans="1:8" ht="13.5">
      <c r="A93">
        <f t="shared" si="7"/>
        <v>341.82189187166824</v>
      </c>
      <c r="B93">
        <f t="shared" si="8"/>
        <v>0.08262910675212448</v>
      </c>
      <c r="C93">
        <f t="shared" si="9"/>
        <v>0.08262910675212448</v>
      </c>
      <c r="D93">
        <f t="shared" si="10"/>
        <v>0.0011650125039342186</v>
      </c>
      <c r="E93">
        <f t="shared" si="11"/>
        <v>1.181052878018729E-05</v>
      </c>
      <c r="F93">
        <f t="shared" si="12"/>
        <v>-31446.374003027173</v>
      </c>
      <c r="G93">
        <f t="shared" si="13"/>
        <v>6.47778722762383E-17</v>
      </c>
      <c r="H93">
        <f t="shared" si="14"/>
        <v>6.47778722762383E-17</v>
      </c>
    </row>
    <row r="94" spans="1:8" ht="13.5">
      <c r="A94">
        <f aca="true" t="shared" si="15" ref="A94:A111">A93*1.2</f>
        <v>410.18627024600187</v>
      </c>
      <c r="B94">
        <f t="shared" si="8"/>
        <v>0.08245892614689991</v>
      </c>
      <c r="C94">
        <f t="shared" si="9"/>
        <v>0.08245892614689991</v>
      </c>
      <c r="D94">
        <f t="shared" si="10"/>
        <v>0.0008498632349998283</v>
      </c>
      <c r="E94">
        <f t="shared" si="11"/>
        <v>7.179713805816057E-06</v>
      </c>
      <c r="F94">
        <f t="shared" si="12"/>
        <v>-37953.95686856466</v>
      </c>
      <c r="G94">
        <f t="shared" si="13"/>
        <v>7.912196037374184E-18</v>
      </c>
      <c r="H94">
        <f t="shared" si="14"/>
        <v>7.912196037374184E-18</v>
      </c>
    </row>
    <row r="95" spans="1:8" ht="13.5">
      <c r="A95">
        <f t="shared" si="15"/>
        <v>492.2235242952022</v>
      </c>
      <c r="B95">
        <f t="shared" si="8"/>
        <v>0.08233478074298545</v>
      </c>
      <c r="C95">
        <f t="shared" si="9"/>
        <v>0.08233478074298545</v>
      </c>
      <c r="D95">
        <f t="shared" si="10"/>
        <v>0.000619964338861933</v>
      </c>
      <c r="E95">
        <f t="shared" si="11"/>
        <v>4.364594561767632E-06</v>
      </c>
      <c r="F95">
        <f t="shared" si="12"/>
        <v>-45763.05630720963</v>
      </c>
      <c r="G95">
        <f t="shared" si="13"/>
        <v>9.6641263314354E-19</v>
      </c>
      <c r="H95">
        <f t="shared" si="14"/>
        <v>9.6641263314354E-19</v>
      </c>
    </row>
    <row r="96" spans="1:8" ht="13.5">
      <c r="A96">
        <f t="shared" si="15"/>
        <v>590.6682291542426</v>
      </c>
      <c r="B96">
        <f t="shared" si="8"/>
        <v>0.08224421799219678</v>
      </c>
      <c r="C96">
        <f t="shared" si="9"/>
        <v>0.08224421799219678</v>
      </c>
      <c r="D96">
        <f t="shared" si="10"/>
        <v>0.0004522555411051372</v>
      </c>
      <c r="E96">
        <f t="shared" si="11"/>
        <v>2.6532615504670787E-06</v>
      </c>
      <c r="F96">
        <f t="shared" si="12"/>
        <v>-55133.97563358359</v>
      </c>
      <c r="G96">
        <f t="shared" si="13"/>
        <v>1.1803892332441762E-19</v>
      </c>
      <c r="H96">
        <f t="shared" si="14"/>
        <v>1.1803892332441762E-19</v>
      </c>
    </row>
    <row r="97" spans="1:8" ht="13.5">
      <c r="A97">
        <f t="shared" si="15"/>
        <v>708.8018749850911</v>
      </c>
      <c r="B97">
        <f t="shared" si="8"/>
        <v>0.0821781535794452</v>
      </c>
      <c r="C97">
        <f t="shared" si="9"/>
        <v>0.0821781535794452</v>
      </c>
      <c r="D97">
        <f t="shared" si="10"/>
        <v>0.0003299140360096305</v>
      </c>
      <c r="E97">
        <f t="shared" si="11"/>
        <v>1.61293120504169E-06</v>
      </c>
      <c r="F97">
        <f t="shared" si="12"/>
        <v>-66379.07882523235</v>
      </c>
      <c r="G97">
        <f t="shared" si="13"/>
        <v>1.4417372065094828E-20</v>
      </c>
      <c r="H97">
        <f t="shared" si="14"/>
        <v>1.4417372065094828E-20</v>
      </c>
    </row>
    <row r="98" spans="1:8" ht="13.5">
      <c r="A98">
        <f t="shared" si="15"/>
        <v>850.5622499821093</v>
      </c>
      <c r="B98">
        <f t="shared" si="8"/>
        <v>0.08212996046948524</v>
      </c>
      <c r="C98">
        <f t="shared" si="9"/>
        <v>0.08212996046948524</v>
      </c>
      <c r="D98">
        <f t="shared" si="10"/>
        <v>0.00024066753608377917</v>
      </c>
      <c r="E98">
        <f t="shared" si="11"/>
        <v>9.805085758873844E-07</v>
      </c>
      <c r="F98">
        <f t="shared" si="12"/>
        <v>-79873.20265521087</v>
      </c>
      <c r="G98">
        <f t="shared" si="13"/>
        <v>1.7609454171312255E-21</v>
      </c>
      <c r="H98">
        <f t="shared" si="14"/>
        <v>1.7609454171312255E-21</v>
      </c>
    </row>
    <row r="99" spans="1:8" ht="13.5">
      <c r="A99">
        <f t="shared" si="15"/>
        <v>1020.6746999785311</v>
      </c>
      <c r="B99">
        <f t="shared" si="8"/>
        <v>0.08209480426659557</v>
      </c>
      <c r="C99">
        <f t="shared" si="9"/>
        <v>0.08209480426659557</v>
      </c>
      <c r="D99">
        <f t="shared" si="10"/>
        <v>0.00017556345665846102</v>
      </c>
      <c r="E99">
        <f t="shared" si="11"/>
        <v>5.960556513917581E-07</v>
      </c>
      <c r="F99">
        <f t="shared" si="12"/>
        <v>-96066.15125118509</v>
      </c>
      <c r="G99">
        <f t="shared" si="13"/>
        <v>2.1508247596567043E-22</v>
      </c>
      <c r="H99">
        <f t="shared" si="14"/>
        <v>2.1508247596567043E-22</v>
      </c>
    </row>
    <row r="100" spans="1:8" ht="13.5">
      <c r="A100">
        <f t="shared" si="15"/>
        <v>1224.8096399742371</v>
      </c>
      <c r="B100">
        <f t="shared" si="8"/>
        <v>0.08206915831902943</v>
      </c>
      <c r="C100">
        <f t="shared" si="9"/>
        <v>0.08206915831902943</v>
      </c>
      <c r="D100">
        <f>(C100-C$20)/(C$21-C$20)</f>
        <v>0.00012807096116560664</v>
      </c>
      <c r="E100">
        <f t="shared" si="11"/>
        <v>3.623448884271241E-07</v>
      </c>
      <c r="F100">
        <f t="shared" si="12"/>
        <v>-115497.68956635414</v>
      </c>
      <c r="G100">
        <f t="shared" si="13"/>
        <v>2.6270223123240612E-23</v>
      </c>
      <c r="H100">
        <f>IF(A100&lt;C$30,C$25,IF(A100&lt;C$31,F100,G100))</f>
        <v>2.6270223123240612E-23</v>
      </c>
    </row>
    <row r="101" spans="1:8" ht="13.5">
      <c r="A101">
        <f t="shared" si="15"/>
        <v>1469.7715679690846</v>
      </c>
      <c r="B101">
        <f t="shared" si="8"/>
        <v>0.08205044997260609</v>
      </c>
      <c r="C101">
        <f t="shared" si="9"/>
        <v>0.08205044997260609</v>
      </c>
      <c r="D101">
        <f t="shared" si="10"/>
        <v>9.342587519645735E-05</v>
      </c>
      <c r="E101">
        <f t="shared" si="11"/>
        <v>2.2027104740196535E-07</v>
      </c>
      <c r="F101">
        <f t="shared" si="12"/>
        <v>-138815.535544557</v>
      </c>
      <c r="G101">
        <f t="shared" si="13"/>
        <v>3.208649308299671E-24</v>
      </c>
      <c r="H101">
        <f t="shared" si="14"/>
        <v>3.208649308299671E-24</v>
      </c>
    </row>
    <row r="102" spans="1:8" ht="13.5">
      <c r="A102">
        <f t="shared" si="15"/>
        <v>1763.7258815629013</v>
      </c>
      <c r="B102">
        <f t="shared" si="8"/>
        <v>0.08203680250806976</v>
      </c>
      <c r="C102">
        <f t="shared" si="9"/>
        <v>0.08203680250806976</v>
      </c>
      <c r="D102">
        <f t="shared" si="10"/>
        <v>6.815279272176922E-05</v>
      </c>
      <c r="E102">
        <f t="shared" si="11"/>
        <v>1.339037265513099E-07</v>
      </c>
      <c r="F102">
        <f t="shared" si="12"/>
        <v>-166796.95071840045</v>
      </c>
      <c r="G102">
        <f t="shared" si="13"/>
        <v>3.919048137212941E-25</v>
      </c>
      <c r="H102">
        <f t="shared" si="14"/>
        <v>3.919048137212941E-25</v>
      </c>
    </row>
    <row r="103" spans="1:8" ht="13.5">
      <c r="A103">
        <f t="shared" si="15"/>
        <v>2116.4710578754816</v>
      </c>
      <c r="B103">
        <f t="shared" si="8"/>
        <v>0.08202684688384142</v>
      </c>
      <c r="C103">
        <f t="shared" si="9"/>
        <v>0.08202684688384142</v>
      </c>
      <c r="D103">
        <f t="shared" si="10"/>
        <v>4.971645155817363E-05</v>
      </c>
      <c r="E103">
        <f t="shared" si="11"/>
        <v>8.140065343997804E-08</v>
      </c>
      <c r="F103">
        <f t="shared" si="12"/>
        <v>-200374.64892701257</v>
      </c>
      <c r="G103">
        <f t="shared" si="13"/>
        <v>4.786729132343235E-26</v>
      </c>
      <c r="H103">
        <f t="shared" si="14"/>
        <v>4.786729132343235E-26</v>
      </c>
    </row>
    <row r="104" spans="1:8" ht="13.5">
      <c r="A104">
        <f t="shared" si="15"/>
        <v>2539.7652694505778</v>
      </c>
      <c r="B104">
        <f t="shared" si="8"/>
        <v>0.08201958440320943</v>
      </c>
      <c r="C104">
        <f t="shared" si="9"/>
        <v>0.08201958440320943</v>
      </c>
      <c r="D104">
        <f t="shared" si="10"/>
        <v>3.626741335079115E-05</v>
      </c>
      <c r="E104">
        <f t="shared" si="11"/>
        <v>4.9483807385009015E-08</v>
      </c>
      <c r="F104">
        <f t="shared" si="12"/>
        <v>-240667.8867773471</v>
      </c>
      <c r="G104">
        <f t="shared" si="13"/>
        <v>5.8465148089627605E-27</v>
      </c>
      <c r="H104">
        <f t="shared" si="14"/>
        <v>5.8465148089627605E-27</v>
      </c>
    </row>
    <row r="105" spans="1:8" ht="13.5">
      <c r="A105">
        <f t="shared" si="15"/>
        <v>3047.718323340693</v>
      </c>
      <c r="B105">
        <f t="shared" si="8"/>
        <v>0.08201428653122408</v>
      </c>
      <c r="C105">
        <f t="shared" si="9"/>
        <v>0.08201428653122408</v>
      </c>
      <c r="D105">
        <f t="shared" si="10"/>
        <v>2.6456539303853435E-05</v>
      </c>
      <c r="E105">
        <f t="shared" si="11"/>
        <v>3.0081418800342874E-08</v>
      </c>
      <c r="F105">
        <f t="shared" si="12"/>
        <v>-289019.7721977486</v>
      </c>
      <c r="G105">
        <f t="shared" si="13"/>
        <v>7.140937300783306E-28</v>
      </c>
      <c r="H105">
        <f t="shared" si="14"/>
        <v>7.140937300783306E-28</v>
      </c>
    </row>
    <row r="106" spans="1:8" ht="13.5">
      <c r="A106">
        <f t="shared" si="15"/>
        <v>3657.261988008832</v>
      </c>
      <c r="B106">
        <f t="shared" si="8"/>
        <v>0.08201042181222892</v>
      </c>
      <c r="C106">
        <f t="shared" si="9"/>
        <v>0.08201042181222892</v>
      </c>
      <c r="D106">
        <f t="shared" si="10"/>
        <v>1.9299652275777E-05</v>
      </c>
      <c r="E106">
        <f t="shared" si="11"/>
        <v>1.828662343772436E-08</v>
      </c>
      <c r="F106">
        <f t="shared" si="12"/>
        <v>-347042.0347022303</v>
      </c>
      <c r="G106">
        <f t="shared" si="13"/>
        <v>8.721945511235993E-29</v>
      </c>
      <c r="H106">
        <f t="shared" si="14"/>
        <v>8.721945511235993E-29</v>
      </c>
    </row>
    <row r="107" spans="1:8" ht="13.5">
      <c r="A107">
        <f t="shared" si="15"/>
        <v>4388.714385610598</v>
      </c>
      <c r="B107">
        <f t="shared" si="8"/>
        <v>0.08200760255711682</v>
      </c>
      <c r="C107">
        <f t="shared" si="9"/>
        <v>0.08200760255711682</v>
      </c>
      <c r="D107">
        <f t="shared" si="10"/>
        <v>1.4078809475593222E-05</v>
      </c>
      <c r="E107">
        <f t="shared" si="11"/>
        <v>1.1116516707154744E-08</v>
      </c>
      <c r="F107">
        <f t="shared" si="12"/>
        <v>-416668.7497076084</v>
      </c>
      <c r="G107">
        <f t="shared" si="13"/>
        <v>1.0652989672506692E-29</v>
      </c>
      <c r="H107">
        <f t="shared" si="14"/>
        <v>1.0652989672506692E-29</v>
      </c>
    </row>
    <row r="108" spans="1:8" ht="13.5">
      <c r="A108">
        <f t="shared" si="15"/>
        <v>5266.457262732717</v>
      </c>
      <c r="B108">
        <f t="shared" si="8"/>
        <v>0.08200554595240085</v>
      </c>
      <c r="C108">
        <f t="shared" si="9"/>
        <v>0.08200554595240085</v>
      </c>
      <c r="D108">
        <f t="shared" si="10"/>
        <v>1.0270282223793184E-05</v>
      </c>
      <c r="E108">
        <f t="shared" si="11"/>
        <v>6.757778003851911E-09</v>
      </c>
      <c r="F108">
        <f t="shared" si="12"/>
        <v>-500220.8077140621</v>
      </c>
      <c r="G108">
        <f t="shared" si="13"/>
        <v>1.3011567648375174E-30</v>
      </c>
      <c r="H108">
        <f t="shared" si="14"/>
        <v>1.3011567648375174E-30</v>
      </c>
    </row>
    <row r="109" spans="1:8" ht="13.5">
      <c r="A109">
        <f t="shared" si="15"/>
        <v>6319.74871527926</v>
      </c>
      <c r="B109">
        <f t="shared" si="8"/>
        <v>0.0820040456898261</v>
      </c>
      <c r="C109">
        <f t="shared" si="9"/>
        <v>0.0820040456898261</v>
      </c>
      <c r="D109">
        <f t="shared" si="10"/>
        <v>7.492018196468912E-06</v>
      </c>
      <c r="E109">
        <f t="shared" si="11"/>
        <v>4.10808220774328E-09</v>
      </c>
      <c r="F109">
        <f t="shared" si="12"/>
        <v>-600483.2773218065</v>
      </c>
      <c r="G109">
        <f t="shared" si="13"/>
        <v>1.5892336694195468E-31</v>
      </c>
      <c r="H109">
        <f t="shared" si="14"/>
        <v>1.5892336694195468E-31</v>
      </c>
    </row>
    <row r="110" spans="1:8" ht="13.5">
      <c r="A110">
        <f t="shared" si="15"/>
        <v>7583.698458335111</v>
      </c>
      <c r="B110">
        <f t="shared" si="8"/>
        <v>0.0820029512705788</v>
      </c>
      <c r="C110">
        <f t="shared" si="9"/>
        <v>0.0820029512705788</v>
      </c>
      <c r="D110">
        <f t="shared" si="10"/>
        <v>5.465315886660216E-06</v>
      </c>
      <c r="E110">
        <f t="shared" si="11"/>
        <v>2.497320794603297E-09</v>
      </c>
      <c r="F110">
        <f t="shared" si="12"/>
        <v>-720798.2408510998</v>
      </c>
      <c r="G110">
        <f t="shared" si="13"/>
        <v>1.9410909950711072E-32</v>
      </c>
      <c r="H110">
        <f t="shared" si="14"/>
        <v>1.9410909950711072E-32</v>
      </c>
    </row>
    <row r="111" spans="1:8" ht="13.5">
      <c r="A111">
        <f t="shared" si="15"/>
        <v>9100.438150002134</v>
      </c>
      <c r="B111">
        <f t="shared" si="8"/>
        <v>0.08200215290800782</v>
      </c>
      <c r="C111">
        <f t="shared" si="9"/>
        <v>0.08200215290800782</v>
      </c>
      <c r="D111">
        <f t="shared" si="10"/>
        <v>3.986866681135356E-06</v>
      </c>
      <c r="E111">
        <f t="shared" si="11"/>
        <v>1.5181319534818272E-09</v>
      </c>
      <c r="F111">
        <f t="shared" si="12"/>
        <v>-865176.1970862517</v>
      </c>
      <c r="G111">
        <f t="shared" si="13"/>
        <v>2.3708495308193705E-33</v>
      </c>
      <c r="H111">
        <f t="shared" si="14"/>
        <v>2.3708495308193705E-33</v>
      </c>
    </row>
  </sheetData>
  <mergeCells count="1">
    <mergeCell ref="V16:Z17"/>
  </mergeCells>
  <conditionalFormatting sqref="E20">
    <cfRule type="cellIs" priority="1" dxfId="0" operator="greaterThanOrEqual" stopIfTrue="1">
      <formula>$E$21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Q145"/>
  <sheetViews>
    <sheetView tabSelected="1" zoomScale="75" zoomScaleNormal="75" workbookViewId="0" topLeftCell="A1">
      <selection activeCell="J13" sqref="J13"/>
    </sheetView>
  </sheetViews>
  <sheetFormatPr defaultColWidth="9.00390625" defaultRowHeight="13.5"/>
  <cols>
    <col min="2" max="2" width="9.875" style="0" customWidth="1"/>
    <col min="5" max="5" width="9.375" style="0" customWidth="1"/>
    <col min="11" max="11" width="10.00390625" style="0" bestFit="1" customWidth="1"/>
  </cols>
  <sheetData>
    <row r="1" ht="18">
      <c r="A1" s="18" t="s">
        <v>42</v>
      </c>
    </row>
    <row r="2" spans="2:4" ht="13.5">
      <c r="B2" s="1"/>
      <c r="D2" s="1"/>
    </row>
    <row r="3" spans="2:4" ht="13.5">
      <c r="B3" s="1"/>
      <c r="D3" s="1"/>
    </row>
    <row r="4" spans="2:4" ht="13.5">
      <c r="B4" s="1"/>
      <c r="D4" s="1"/>
    </row>
    <row r="5" spans="2:4" ht="13.5">
      <c r="B5" s="1"/>
      <c r="D5" s="1"/>
    </row>
    <row r="6" spans="2:4" ht="13.5">
      <c r="B6" s="1"/>
      <c r="D6" s="1"/>
    </row>
    <row r="7" spans="2:4" ht="13.5">
      <c r="B7" s="1"/>
      <c r="D7" s="1"/>
    </row>
    <row r="8" spans="2:12" ht="13.5">
      <c r="B8" s="1"/>
      <c r="D8" s="1"/>
      <c r="K8" s="1"/>
      <c r="L8" s="1"/>
    </row>
    <row r="9" spans="2:12" ht="13.5">
      <c r="B9" s="1"/>
      <c r="D9" s="1"/>
      <c r="L9" s="19" t="s">
        <v>26</v>
      </c>
    </row>
    <row r="10" spans="2:11" ht="16.5">
      <c r="B10" s="7" t="s">
        <v>27</v>
      </c>
      <c r="C10" s="8">
        <f>E10/1000</f>
        <v>0.002</v>
      </c>
      <c r="D10" s="2"/>
      <c r="E10">
        <v>2</v>
      </c>
      <c r="K10" t="s">
        <v>10</v>
      </c>
    </row>
    <row r="11" spans="2:16" ht="16.5" customHeight="1">
      <c r="B11" s="9" t="s">
        <v>28</v>
      </c>
      <c r="C11" s="10">
        <f>E11/1000</f>
        <v>0.463</v>
      </c>
      <c r="D11" s="2"/>
      <c r="E11">
        <v>463</v>
      </c>
      <c r="L11" s="20" t="s">
        <v>11</v>
      </c>
      <c r="M11" s="20" t="s">
        <v>29</v>
      </c>
      <c r="N11" s="2"/>
      <c r="O11" s="2"/>
      <c r="P11" s="2"/>
    </row>
    <row r="12" spans="2:16" ht="16.5" customHeight="1">
      <c r="B12" s="11" t="s">
        <v>30</v>
      </c>
      <c r="C12" s="12">
        <f>E12</f>
        <v>16</v>
      </c>
      <c r="D12" s="2"/>
      <c r="E12">
        <v>16</v>
      </c>
      <c r="L12" s="22" t="s">
        <v>27</v>
      </c>
      <c r="M12" s="20">
        <v>0.034</v>
      </c>
      <c r="N12" s="1"/>
      <c r="O12" s="1"/>
      <c r="P12" s="2"/>
    </row>
    <row r="13" spans="2:16" ht="16.5">
      <c r="B13" s="13" t="s">
        <v>0</v>
      </c>
      <c r="C13" s="14">
        <f>E13/100</f>
        <v>1.48</v>
      </c>
      <c r="D13" s="2"/>
      <c r="E13">
        <v>148</v>
      </c>
      <c r="L13" s="23" t="s">
        <v>28</v>
      </c>
      <c r="M13" s="20">
        <v>0.46</v>
      </c>
      <c r="N13" s="1"/>
      <c r="O13" s="1"/>
      <c r="P13" s="2"/>
    </row>
    <row r="14" spans="2:16" ht="15">
      <c r="B14" s="15" t="s">
        <v>1</v>
      </c>
      <c r="C14" s="12">
        <f>E14/10</f>
        <v>0.8</v>
      </c>
      <c r="D14" s="1"/>
      <c r="E14">
        <v>8</v>
      </c>
      <c r="L14" s="22" t="s">
        <v>30</v>
      </c>
      <c r="M14" s="20">
        <v>100</v>
      </c>
      <c r="N14" s="1"/>
      <c r="O14" s="1"/>
      <c r="P14" s="2"/>
    </row>
    <row r="15" spans="2:16" ht="16.5">
      <c r="B15" s="16" t="s">
        <v>31</v>
      </c>
      <c r="C15" s="17">
        <f>E15</f>
        <v>1000</v>
      </c>
      <c r="D15" s="1"/>
      <c r="E15">
        <v>1000</v>
      </c>
      <c r="L15" s="24" t="s">
        <v>0</v>
      </c>
      <c r="M15" s="20">
        <v>1</v>
      </c>
      <c r="N15" s="1"/>
      <c r="O15" s="1"/>
      <c r="P15" s="2"/>
    </row>
    <row r="16" spans="2:16" ht="15">
      <c r="B16" s="1"/>
      <c r="D16" s="1"/>
      <c r="L16" s="25" t="s">
        <v>1</v>
      </c>
      <c r="M16" s="20">
        <v>0.5</v>
      </c>
      <c r="N16" s="2"/>
      <c r="O16" s="1"/>
      <c r="P16" s="2"/>
    </row>
    <row r="17" spans="12:16" ht="16.5">
      <c r="L17" s="26" t="s">
        <v>31</v>
      </c>
      <c r="M17" s="20">
        <v>6</v>
      </c>
      <c r="N17" s="1"/>
      <c r="O17" s="1"/>
      <c r="P17" s="2"/>
    </row>
    <row r="18" spans="14:16" ht="13.5">
      <c r="N18" s="1"/>
      <c r="O18" s="1"/>
      <c r="P18" s="1"/>
    </row>
    <row r="43" spans="1:17" ht="16.5">
      <c r="A43" s="4" t="s">
        <v>32</v>
      </c>
      <c r="B43" s="5" t="s">
        <v>33</v>
      </c>
      <c r="C43" s="5" t="s">
        <v>34</v>
      </c>
      <c r="D43" s="5" t="s">
        <v>35</v>
      </c>
      <c r="E43" s="5" t="s">
        <v>36</v>
      </c>
      <c r="F43" s="3" t="s">
        <v>37</v>
      </c>
      <c r="G43" s="5" t="s">
        <v>38</v>
      </c>
      <c r="H43" s="5" t="s">
        <v>39</v>
      </c>
      <c r="I43" s="5" t="s">
        <v>40</v>
      </c>
      <c r="J43" s="5" t="s">
        <v>41</v>
      </c>
      <c r="L43" s="27"/>
      <c r="M43" s="27"/>
      <c r="N43" s="27"/>
      <c r="O43" s="27"/>
      <c r="P43" s="27"/>
      <c r="Q43" s="27"/>
    </row>
    <row r="44" spans="1:17" ht="13.5">
      <c r="A44">
        <v>0</v>
      </c>
      <c r="B44" s="27" t="e">
        <f aca="true" t="shared" si="0" ref="B44:B75">LN(A44/$C$12)/($C$13*2^0.5)</f>
        <v>#NUM!</v>
      </c>
      <c r="C44" s="27" t="e">
        <f aca="true" t="shared" si="1" ref="C44:C75">1/(1+0.5*ABS(B44))</f>
        <v>#NUM!</v>
      </c>
      <c r="D44" s="27" t="e">
        <f aca="true" t="shared" si="2" ref="D44:D75">C44*EXP(-ABS(B44)*ABS(B44)-1.26551223+C44*(1.00002368+C44*(0.37409196+C44*(0.09678418+C44*(-0.18628806+C44*(0.27886807+C44*(-1.13520398+C44*(1.48851587+C44*(-0.82215223+C44*0.17087277)))))))))</f>
        <v>#NUM!</v>
      </c>
      <c r="E44">
        <v>1</v>
      </c>
      <c r="F44" s="27">
        <f aca="true" t="shared" si="3" ref="F44:F75">E44*($C$11-$C$10)+$C$10</f>
        <v>0.463</v>
      </c>
      <c r="G44" s="27" t="e">
        <f>B44+$C$13/2^0.5</f>
        <v>#NUM!</v>
      </c>
      <c r="H44" s="27" t="e">
        <f aca="true" t="shared" si="4" ref="H44:H75">1/(1+0.5*ABS(G44))</f>
        <v>#NUM!</v>
      </c>
      <c r="I44" s="27" t="e">
        <f aca="true" t="shared" si="5" ref="I44:I75">H44*EXP(-G44*G44-1.26551223+H44*(1.00002368+H44*(0.37409196+H44*(0.09678418+H44*(-0.18628806+H44*(0.27886807+H44*(-1.13520398+H44*(1.48851587+H44*(-0.82215223+H44*0.17087277)))))))))</f>
        <v>#NUM!</v>
      </c>
      <c r="J44" s="27">
        <f>$C$15</f>
        <v>1000</v>
      </c>
      <c r="L44" s="27"/>
      <c r="M44" s="27"/>
      <c r="O44" s="27"/>
      <c r="P44" s="27"/>
      <c r="Q44" s="27"/>
    </row>
    <row r="45" spans="1:17" ht="13.5">
      <c r="A45">
        <v>1</v>
      </c>
      <c r="B45" s="27">
        <f t="shared" si="0"/>
        <v>-1.324673166849388</v>
      </c>
      <c r="C45" s="27">
        <f t="shared" si="1"/>
        <v>0.6015628904345178</v>
      </c>
      <c r="D45" s="27">
        <f t="shared" si="2"/>
        <v>0.061017200367699434</v>
      </c>
      <c r="E45">
        <f aca="true" t="shared" si="6" ref="E45:E76">IF(B45&lt;0,(2-D45)/2,D45/2)</f>
        <v>0.9694913998161503</v>
      </c>
      <c r="F45" s="27">
        <f t="shared" si="3"/>
        <v>0.4489355353152453</v>
      </c>
      <c r="G45" s="27">
        <f aca="true" t="shared" si="7" ref="G45:G106">B45+$C$13/2^0.5</f>
        <v>-0.2781551306932979</v>
      </c>
      <c r="H45" s="27">
        <f t="shared" si="4"/>
        <v>0.8779033407577259</v>
      </c>
      <c r="I45" s="27">
        <f t="shared" si="5"/>
        <v>0.6940456509123469</v>
      </c>
      <c r="J45" s="27">
        <f>IF(G45&lt;0,$C$15*E45^$C$14*((2-I45)/2)^2,$C$15*E45^$C$14*(I45/2)^2)</f>
        <v>415.94046156111534</v>
      </c>
      <c r="K45" s="27"/>
      <c r="L45" s="27"/>
      <c r="M45" s="27"/>
      <c r="N45" s="27"/>
      <c r="O45" s="27"/>
      <c r="P45" s="27"/>
      <c r="Q45" s="27"/>
    </row>
    <row r="46" spans="1:17" ht="13.5">
      <c r="A46">
        <f aca="true" t="shared" si="8" ref="A46:A77">A45*1.2</f>
        <v>1.2</v>
      </c>
      <c r="B46" s="27">
        <f t="shared" si="0"/>
        <v>-1.2375645120078382</v>
      </c>
      <c r="C46" s="27">
        <f t="shared" si="1"/>
        <v>0.6177483082058066</v>
      </c>
      <c r="D46" s="27">
        <f t="shared" si="2"/>
        <v>0.08008716519174162</v>
      </c>
      <c r="E46">
        <f t="shared" si="6"/>
        <v>0.9599564174041292</v>
      </c>
      <c r="F46" s="27">
        <f t="shared" si="3"/>
        <v>0.4445399084233036</v>
      </c>
      <c r="G46" s="27">
        <f t="shared" si="7"/>
        <v>-0.19104647585174805</v>
      </c>
      <c r="H46" s="27">
        <f t="shared" si="4"/>
        <v>0.9128058313881814</v>
      </c>
      <c r="I46" s="27">
        <f t="shared" si="5"/>
        <v>0.7870214132888281</v>
      </c>
      <c r="J46" s="27">
        <f aca="true" t="shared" si="9" ref="J46:J76">IF(G46&lt;0,$C$15*E46^$C$14*((2-I46)/2)^2,$C$15*E46^$C$14*(I46/2)^2)</f>
        <v>355.99794411390866</v>
      </c>
      <c r="L46" s="27"/>
      <c r="M46" s="27"/>
      <c r="N46" s="27"/>
      <c r="O46" s="27"/>
      <c r="P46" s="27"/>
      <c r="Q46" s="27"/>
    </row>
    <row r="47" spans="1:17" ht="13.5">
      <c r="A47">
        <f t="shared" si="8"/>
        <v>1.44</v>
      </c>
      <c r="B47" s="27">
        <f t="shared" si="0"/>
        <v>-1.1504558571662886</v>
      </c>
      <c r="C47" s="27">
        <f t="shared" si="1"/>
        <v>0.6348287646851594</v>
      </c>
      <c r="D47" s="27">
        <f t="shared" si="2"/>
        <v>0.10373916046228458</v>
      </c>
      <c r="E47">
        <f t="shared" si="6"/>
        <v>0.9481304197688577</v>
      </c>
      <c r="F47" s="27">
        <f t="shared" si="3"/>
        <v>0.4390881235134434</v>
      </c>
      <c r="G47" s="27">
        <f t="shared" si="7"/>
        <v>-0.10393782101019844</v>
      </c>
      <c r="H47" s="27">
        <f t="shared" si="4"/>
        <v>0.9505984350049408</v>
      </c>
      <c r="I47" s="27">
        <f t="shared" si="5"/>
        <v>0.8831396879279708</v>
      </c>
      <c r="J47" s="27">
        <f t="shared" si="9"/>
        <v>298.8355014579566</v>
      </c>
      <c r="L47" s="27"/>
      <c r="M47" s="27"/>
      <c r="N47" s="27"/>
      <c r="O47" s="27"/>
      <c r="P47" s="27"/>
      <c r="Q47" s="27"/>
    </row>
    <row r="48" spans="1:17" ht="13.5">
      <c r="A48">
        <f t="shared" si="8"/>
        <v>1.728</v>
      </c>
      <c r="B48" s="27">
        <f t="shared" si="0"/>
        <v>-1.0633472023247388</v>
      </c>
      <c r="C48" s="27">
        <f t="shared" si="1"/>
        <v>0.6528806132332056</v>
      </c>
      <c r="D48" s="27">
        <f t="shared" si="2"/>
        <v>0.1326328634048451</v>
      </c>
      <c r="E48">
        <f t="shared" si="6"/>
        <v>0.9336835682975775</v>
      </c>
      <c r="F48" s="27">
        <f t="shared" si="3"/>
        <v>0.43242812498518324</v>
      </c>
      <c r="G48" s="27">
        <f t="shared" si="7"/>
        <v>-0.0168291661686486</v>
      </c>
      <c r="H48" s="27">
        <f t="shared" si="4"/>
        <v>0.9916556312993932</v>
      </c>
      <c r="I48" s="27">
        <f t="shared" si="5"/>
        <v>0.9810120592050616</v>
      </c>
      <c r="J48" s="27">
        <f t="shared" si="9"/>
        <v>245.71850826293314</v>
      </c>
      <c r="L48" s="27"/>
      <c r="M48" s="27"/>
      <c r="N48" s="27"/>
      <c r="O48" s="27"/>
      <c r="P48" s="27"/>
      <c r="Q48" s="27"/>
    </row>
    <row r="49" spans="1:17" ht="13.5">
      <c r="A49">
        <f t="shared" si="8"/>
        <v>2.0736</v>
      </c>
      <c r="B49" s="27">
        <f t="shared" si="0"/>
        <v>-0.9762385474831893</v>
      </c>
      <c r="C49" s="27">
        <f t="shared" si="1"/>
        <v>0.671989146061988</v>
      </c>
      <c r="D49" s="27">
        <f t="shared" si="2"/>
        <v>0.16739897721610134</v>
      </c>
      <c r="E49">
        <f t="shared" si="6"/>
        <v>0.9163005113919493</v>
      </c>
      <c r="F49" s="27">
        <f t="shared" si="3"/>
        <v>0.4244145357516887</v>
      </c>
      <c r="G49" s="27">
        <f t="shared" si="7"/>
        <v>0.0702794886729009</v>
      </c>
      <c r="H49" s="27">
        <f t="shared" si="4"/>
        <v>0.9660531396570268</v>
      </c>
      <c r="I49" s="27">
        <f t="shared" si="5"/>
        <v>0.9208284029664293</v>
      </c>
      <c r="J49" s="27">
        <f t="shared" si="9"/>
        <v>197.66408441397186</v>
      </c>
      <c r="L49" s="27"/>
      <c r="M49" s="27"/>
      <c r="N49" s="27"/>
      <c r="O49" s="27"/>
      <c r="P49" s="27"/>
      <c r="Q49" s="27"/>
    </row>
    <row r="50" spans="1:17" ht="13.5">
      <c r="A50">
        <f t="shared" si="8"/>
        <v>2.48832</v>
      </c>
      <c r="B50" s="27">
        <f t="shared" si="0"/>
        <v>-0.8891298926416396</v>
      </c>
      <c r="C50" s="27">
        <f t="shared" si="1"/>
        <v>0.6922499417882958</v>
      </c>
      <c r="D50" s="27">
        <f t="shared" si="2"/>
        <v>0.20860176582952028</v>
      </c>
      <c r="E50">
        <f t="shared" si="6"/>
        <v>0.8956991170852399</v>
      </c>
      <c r="F50" s="27">
        <f t="shared" si="3"/>
        <v>0.4149172929762956</v>
      </c>
      <c r="G50" s="27">
        <f t="shared" si="7"/>
        <v>0.15738814351445063</v>
      </c>
      <c r="H50" s="27">
        <f t="shared" si="4"/>
        <v>0.9270469043840852</v>
      </c>
      <c r="I50" s="27">
        <f t="shared" si="5"/>
        <v>0.8238620895402406</v>
      </c>
      <c r="J50" s="27">
        <f t="shared" si="9"/>
        <v>155.3741492253219</v>
      </c>
      <c r="L50" s="27"/>
      <c r="M50" s="27"/>
      <c r="N50" s="27"/>
      <c r="O50" s="27"/>
      <c r="P50" s="27"/>
      <c r="Q50" s="27"/>
    </row>
    <row r="51" spans="1:17" ht="13.5">
      <c r="A51">
        <f t="shared" si="8"/>
        <v>2.9859839999999997</v>
      </c>
      <c r="B51" s="27">
        <f t="shared" si="0"/>
        <v>-0.8020212378000898</v>
      </c>
      <c r="C51" s="27">
        <f t="shared" si="1"/>
        <v>0.7137704643417446</v>
      </c>
      <c r="D51" s="27">
        <f t="shared" si="2"/>
        <v>0.2566983891055116</v>
      </c>
      <c r="E51">
        <f t="shared" si="6"/>
        <v>0.8716508054472442</v>
      </c>
      <c r="F51" s="27">
        <f t="shared" si="3"/>
        <v>0.4038310213111796</v>
      </c>
      <c r="G51" s="27">
        <f t="shared" si="7"/>
        <v>0.24449679835600036</v>
      </c>
      <c r="H51" s="27">
        <f t="shared" si="4"/>
        <v>0.8910683238509924</v>
      </c>
      <c r="I51" s="27">
        <f t="shared" si="5"/>
        <v>0.7295150623679741</v>
      </c>
      <c r="J51" s="27">
        <f t="shared" si="9"/>
        <v>119.20173146605102</v>
      </c>
      <c r="L51" s="27"/>
      <c r="M51" s="27"/>
      <c r="N51" s="27"/>
      <c r="O51" s="27"/>
      <c r="P51" s="27"/>
      <c r="Q51" s="27"/>
    </row>
    <row r="52" spans="1:17" ht="13.5">
      <c r="A52">
        <f t="shared" si="8"/>
        <v>3.5831807999999996</v>
      </c>
      <c r="B52" s="27">
        <f t="shared" si="0"/>
        <v>-0.7149125829585401</v>
      </c>
      <c r="C52" s="27">
        <f t="shared" si="1"/>
        <v>0.7366719696810741</v>
      </c>
      <c r="D52" s="27">
        <f t="shared" si="2"/>
        <v>0.31199774573885697</v>
      </c>
      <c r="E52">
        <f t="shared" si="6"/>
        <v>0.8440011271305715</v>
      </c>
      <c r="F52" s="27">
        <f t="shared" si="3"/>
        <v>0.3910845196071935</v>
      </c>
      <c r="G52" s="27">
        <f t="shared" si="7"/>
        <v>0.3316054531975501</v>
      </c>
      <c r="H52" s="27">
        <f t="shared" si="4"/>
        <v>0.857778059001025</v>
      </c>
      <c r="I52" s="27">
        <f t="shared" si="5"/>
        <v>0.6390975258256635</v>
      </c>
      <c r="J52" s="27">
        <f t="shared" si="9"/>
        <v>89.1556154735969</v>
      </c>
      <c r="L52" s="27"/>
      <c r="M52" s="27"/>
      <c r="N52" s="27"/>
      <c r="O52" s="27"/>
      <c r="P52" s="27"/>
      <c r="Q52" s="27"/>
    </row>
    <row r="53" spans="1:17" ht="13.5">
      <c r="A53">
        <f t="shared" si="8"/>
        <v>4.299816959999999</v>
      </c>
      <c r="B53" s="27">
        <f t="shared" si="0"/>
        <v>-0.6278039281169905</v>
      </c>
      <c r="C53" s="27">
        <f t="shared" si="1"/>
        <v>0.7610917917430556</v>
      </c>
      <c r="D53" s="27">
        <f t="shared" si="2"/>
        <v>0.374622076507504</v>
      </c>
      <c r="E53">
        <f t="shared" si="6"/>
        <v>0.812688961746248</v>
      </c>
      <c r="F53" s="27">
        <f t="shared" si="3"/>
        <v>0.37664961136502034</v>
      </c>
      <c r="G53" s="27">
        <f t="shared" si="7"/>
        <v>0.4187141080390997</v>
      </c>
      <c r="H53" s="27">
        <f t="shared" si="4"/>
        <v>0.8268856552134805</v>
      </c>
      <c r="I53" s="27">
        <f t="shared" si="5"/>
        <v>0.5537493173201422</v>
      </c>
      <c r="J53" s="27">
        <f t="shared" si="9"/>
        <v>64.9390461337094</v>
      </c>
      <c r="L53" s="27"/>
      <c r="M53" s="27"/>
      <c r="N53" s="27"/>
      <c r="O53" s="27"/>
      <c r="P53" s="27"/>
      <c r="Q53" s="27"/>
    </row>
    <row r="54" spans="1:17" ht="13.5">
      <c r="A54">
        <f t="shared" si="8"/>
        <v>5.159780351999999</v>
      </c>
      <c r="B54" s="27">
        <f t="shared" si="0"/>
        <v>-0.5406952732754408</v>
      </c>
      <c r="C54" s="27">
        <f t="shared" si="1"/>
        <v>0.7871860986389047</v>
      </c>
      <c r="D54" s="27">
        <f t="shared" si="2"/>
        <v>0.44447485322764263</v>
      </c>
      <c r="E54">
        <f t="shared" si="6"/>
        <v>0.7777625733861787</v>
      </c>
      <c r="F54" s="27">
        <f t="shared" si="3"/>
        <v>0.3605485463310284</v>
      </c>
      <c r="G54" s="27">
        <f t="shared" si="7"/>
        <v>0.5058227628806494</v>
      </c>
      <c r="H54" s="27">
        <f t="shared" si="4"/>
        <v>0.7981410455785131</v>
      </c>
      <c r="I54" s="27">
        <f t="shared" si="5"/>
        <v>0.4743980773987973</v>
      </c>
      <c r="J54" s="27">
        <f t="shared" si="9"/>
        <v>46.01542968897307</v>
      </c>
      <c r="L54" s="27"/>
      <c r="M54" s="27"/>
      <c r="N54" s="27"/>
      <c r="O54" s="27"/>
      <c r="P54" s="27"/>
      <c r="Q54" s="27"/>
    </row>
    <row r="55" spans="1:17" ht="13.5">
      <c r="A55">
        <f t="shared" si="8"/>
        <v>6.191736422399999</v>
      </c>
      <c r="B55" s="27">
        <f t="shared" si="0"/>
        <v>-0.45358661843389103</v>
      </c>
      <c r="C55" s="27">
        <f t="shared" si="1"/>
        <v>0.8151332359631906</v>
      </c>
      <c r="D55" s="27">
        <f t="shared" si="2"/>
        <v>0.5212183980400599</v>
      </c>
      <c r="E55">
        <f t="shared" si="6"/>
        <v>0.7393908009799701</v>
      </c>
      <c r="F55" s="27">
        <f t="shared" si="3"/>
        <v>0.34285915925176624</v>
      </c>
      <c r="G55" s="27">
        <f t="shared" si="7"/>
        <v>0.5929314177221991</v>
      </c>
      <c r="H55" s="27">
        <f t="shared" si="4"/>
        <v>0.7713277668396379</v>
      </c>
      <c r="I55" s="27">
        <f t="shared" si="5"/>
        <v>0.40173217424674984</v>
      </c>
      <c r="J55" s="27">
        <f t="shared" si="9"/>
        <v>31.689287424550816</v>
      </c>
      <c r="L55" s="27"/>
      <c r="M55" s="27"/>
      <c r="N55" s="27"/>
      <c r="O55" s="27"/>
      <c r="P55" s="27"/>
      <c r="Q55" s="27"/>
    </row>
    <row r="56" spans="1:17" ht="13.5">
      <c r="A56">
        <f t="shared" si="8"/>
        <v>7.430083706879999</v>
      </c>
      <c r="B56" s="27">
        <f t="shared" si="0"/>
        <v>-0.3664779635923413</v>
      </c>
      <c r="C56" s="27">
        <f t="shared" si="1"/>
        <v>0.845137808494095</v>
      </c>
      <c r="D56" s="27">
        <f t="shared" si="2"/>
        <v>0.6042642000936549</v>
      </c>
      <c r="E56">
        <f t="shared" si="6"/>
        <v>0.6978678999531726</v>
      </c>
      <c r="F56" s="27">
        <f t="shared" si="3"/>
        <v>0.32371710187841257</v>
      </c>
      <c r="G56" s="27">
        <f t="shared" si="7"/>
        <v>0.6800400725637489</v>
      </c>
      <c r="H56" s="27">
        <f t="shared" si="4"/>
        <v>0.7462574983391137</v>
      </c>
      <c r="I56" s="27">
        <f t="shared" si="5"/>
        <v>0.33618933380039817</v>
      </c>
      <c r="J56" s="27">
        <f t="shared" si="9"/>
        <v>21.189779999694785</v>
      </c>
      <c r="L56" s="27"/>
      <c r="M56" s="27"/>
      <c r="N56" s="27"/>
      <c r="O56" s="27"/>
      <c r="P56" s="27"/>
      <c r="Q56" s="27"/>
    </row>
    <row r="57" spans="1:17" ht="13.5">
      <c r="A57">
        <f t="shared" si="8"/>
        <v>8.916100448255998</v>
      </c>
      <c r="B57" s="27">
        <f t="shared" si="0"/>
        <v>-0.27936930875079163</v>
      </c>
      <c r="C57" s="27">
        <f t="shared" si="1"/>
        <v>0.8774356978141906</v>
      </c>
      <c r="D57" s="27">
        <f t="shared" si="2"/>
        <v>0.6927780302449338</v>
      </c>
      <c r="E57">
        <f t="shared" si="6"/>
        <v>0.6536109848775331</v>
      </c>
      <c r="F57" s="27">
        <f t="shared" si="3"/>
        <v>0.3033146640285428</v>
      </c>
      <c r="G57" s="27">
        <f t="shared" si="7"/>
        <v>0.7671487274052986</v>
      </c>
      <c r="H57" s="27">
        <f t="shared" si="4"/>
        <v>0.7227656324332669</v>
      </c>
      <c r="I57" s="27">
        <f t="shared" si="5"/>
        <v>0.2779605906365932</v>
      </c>
      <c r="J57" s="27">
        <f t="shared" si="9"/>
        <v>13.745544063771062</v>
      </c>
      <c r="L57" s="27"/>
      <c r="M57" s="27"/>
      <c r="N57" s="27"/>
      <c r="O57" s="27"/>
      <c r="P57" s="27"/>
      <c r="Q57" s="27"/>
    </row>
    <row r="58" spans="1:17" ht="13.5">
      <c r="A58">
        <f t="shared" si="8"/>
        <v>10.699320537907196</v>
      </c>
      <c r="B58" s="27">
        <f t="shared" si="0"/>
        <v>-0.19226065390924202</v>
      </c>
      <c r="C58" s="27">
        <f t="shared" si="1"/>
        <v>0.9123002761709004</v>
      </c>
      <c r="D58" s="27">
        <f t="shared" si="2"/>
        <v>0.7857007704167775</v>
      </c>
      <c r="E58">
        <f t="shared" si="6"/>
        <v>0.6071496147916112</v>
      </c>
      <c r="F58" s="27">
        <f t="shared" si="3"/>
        <v>0.28189597241893277</v>
      </c>
      <c r="G58" s="27">
        <f t="shared" si="7"/>
        <v>0.8542573822468482</v>
      </c>
      <c r="H58" s="27">
        <f t="shared" si="4"/>
        <v>0.7007076560228134</v>
      </c>
      <c r="I58" s="27">
        <f t="shared" si="5"/>
        <v>0.22700790136497287</v>
      </c>
      <c r="J58" s="27">
        <f t="shared" si="9"/>
        <v>8.642881035804496</v>
      </c>
      <c r="L58" s="27"/>
      <c r="M58" s="27"/>
      <c r="N58" s="27"/>
      <c r="O58" s="27"/>
      <c r="P58" s="27"/>
      <c r="Q58" s="27"/>
    </row>
    <row r="59" spans="1:17" ht="13.5">
      <c r="A59">
        <f t="shared" si="8"/>
        <v>12.839184645488634</v>
      </c>
      <c r="B59" s="27">
        <f t="shared" si="0"/>
        <v>-0.10515199906769236</v>
      </c>
      <c r="C59" s="27">
        <f t="shared" si="1"/>
        <v>0.9500501630693361</v>
      </c>
      <c r="D59" s="27">
        <f t="shared" si="2"/>
        <v>0.8817845290716834</v>
      </c>
      <c r="E59">
        <f t="shared" si="6"/>
        <v>0.5591077354641583</v>
      </c>
      <c r="F59" s="27">
        <f t="shared" si="3"/>
        <v>0.25974866604897695</v>
      </c>
      <c r="G59" s="27">
        <f t="shared" si="7"/>
        <v>0.9413660370883978</v>
      </c>
      <c r="H59" s="27">
        <f t="shared" si="4"/>
        <v>0.6799561750497949</v>
      </c>
      <c r="I59" s="27">
        <f t="shared" si="5"/>
        <v>0.1830927560803125</v>
      </c>
      <c r="J59" s="27">
        <f t="shared" si="9"/>
        <v>5.263549768294048</v>
      </c>
      <c r="L59" s="27"/>
      <c r="M59" s="27"/>
      <c r="N59" s="27"/>
      <c r="O59" s="27"/>
      <c r="P59" s="27"/>
      <c r="Q59" s="27"/>
    </row>
    <row r="60" spans="1:17" ht="13.5">
      <c r="A60">
        <f t="shared" si="8"/>
        <v>15.407021574586361</v>
      </c>
      <c r="B60" s="27">
        <f t="shared" si="0"/>
        <v>-0.01804334422614266</v>
      </c>
      <c r="C60" s="27">
        <f t="shared" si="1"/>
        <v>0.9910589907408248</v>
      </c>
      <c r="D60" s="27">
        <f t="shared" si="2"/>
        <v>0.9796424190637206</v>
      </c>
      <c r="E60">
        <f t="shared" si="6"/>
        <v>0.5101787904681396</v>
      </c>
      <c r="F60" s="27">
        <f t="shared" si="3"/>
        <v>0.23719242240581237</v>
      </c>
      <c r="G60" s="27">
        <f t="shared" si="7"/>
        <v>1.0284746919299474</v>
      </c>
      <c r="H60" s="27">
        <f t="shared" si="4"/>
        <v>0.6603984525046388</v>
      </c>
      <c r="I60" s="27">
        <f t="shared" si="5"/>
        <v>0.14581248596847332</v>
      </c>
      <c r="J60" s="27">
        <f t="shared" si="9"/>
        <v>3.102468332267601</v>
      </c>
      <c r="L60" s="27"/>
      <c r="M60" s="27"/>
      <c r="N60" s="27"/>
      <c r="O60" s="27"/>
      <c r="P60" s="27"/>
      <c r="Q60" s="27"/>
    </row>
    <row r="61" spans="1:17" ht="13.5">
      <c r="A61">
        <f t="shared" si="8"/>
        <v>18.48842588950363</v>
      </c>
      <c r="B61" s="27">
        <f t="shared" si="0"/>
        <v>0.069065310615407</v>
      </c>
      <c r="C61" s="27">
        <f t="shared" si="1"/>
        <v>0.9666200432335001</v>
      </c>
      <c r="D61" s="27">
        <f t="shared" si="2"/>
        <v>0.9221918198717901</v>
      </c>
      <c r="E61">
        <f t="shared" si="6"/>
        <v>0.46109590993589505</v>
      </c>
      <c r="F61" s="27">
        <f t="shared" si="3"/>
        <v>0.21456521448044763</v>
      </c>
      <c r="G61" s="27">
        <f t="shared" si="7"/>
        <v>1.1155833467714973</v>
      </c>
      <c r="H61" s="27">
        <f t="shared" si="4"/>
        <v>0.6419343594426664</v>
      </c>
      <c r="I61" s="27">
        <f t="shared" si="5"/>
        <v>0.11464072816218193</v>
      </c>
      <c r="J61" s="27">
        <f t="shared" si="9"/>
        <v>1.7686866443551845</v>
      </c>
      <c r="L61" s="27"/>
      <c r="M61" s="27"/>
      <c r="N61" s="27"/>
      <c r="O61" s="27"/>
      <c r="P61" s="27"/>
      <c r="Q61" s="27"/>
    </row>
    <row r="62" spans="1:17" ht="13.5">
      <c r="A62">
        <f t="shared" si="8"/>
        <v>22.186111067404358</v>
      </c>
      <c r="B62" s="27">
        <f t="shared" si="0"/>
        <v>0.15617396545695672</v>
      </c>
      <c r="C62" s="27">
        <f t="shared" si="1"/>
        <v>0.9275689401880618</v>
      </c>
      <c r="D62" s="27">
        <f t="shared" si="2"/>
        <v>0.8251988765001328</v>
      </c>
      <c r="E62">
        <f t="shared" si="6"/>
        <v>0.4125994382500664</v>
      </c>
      <c r="F62" s="27">
        <f t="shared" si="3"/>
        <v>0.19220834103328063</v>
      </c>
      <c r="G62" s="27">
        <f t="shared" si="7"/>
        <v>1.202692001613047</v>
      </c>
      <c r="H62" s="27">
        <f t="shared" si="4"/>
        <v>0.6244746603771743</v>
      </c>
      <c r="I62" s="27">
        <f t="shared" si="5"/>
        <v>0.08896864812376895</v>
      </c>
      <c r="J62" s="27">
        <f t="shared" si="9"/>
        <v>0.97462354213842</v>
      </c>
      <c r="L62" s="27"/>
      <c r="M62" s="27"/>
      <c r="N62" s="27"/>
      <c r="O62" s="27"/>
      <c r="P62" s="27"/>
      <c r="Q62" s="27"/>
    </row>
    <row r="63" spans="1:17" ht="13.5">
      <c r="A63">
        <f t="shared" si="8"/>
        <v>26.62333328088523</v>
      </c>
      <c r="B63" s="27">
        <f t="shared" si="0"/>
        <v>0.24328262029850645</v>
      </c>
      <c r="C63" s="27">
        <f t="shared" si="1"/>
        <v>0.8915506151132514</v>
      </c>
      <c r="D63" s="27">
        <f t="shared" si="2"/>
        <v>0.7308059987780817</v>
      </c>
      <c r="E63">
        <f t="shared" si="6"/>
        <v>0.36540299938904086</v>
      </c>
      <c r="F63" s="27">
        <f t="shared" si="3"/>
        <v>0.17045078271834785</v>
      </c>
      <c r="G63" s="27">
        <f t="shared" si="7"/>
        <v>1.2898006564545965</v>
      </c>
      <c r="H63" s="27">
        <f t="shared" si="4"/>
        <v>0.607939571072793</v>
      </c>
      <c r="I63" s="27">
        <f t="shared" si="5"/>
        <v>0.06814396748717517</v>
      </c>
      <c r="J63" s="27">
        <f t="shared" si="9"/>
        <v>0.518815002517258</v>
      </c>
      <c r="L63" s="27"/>
      <c r="M63" s="27"/>
      <c r="N63" s="27"/>
      <c r="O63" s="27"/>
      <c r="P63" s="27"/>
      <c r="Q63" s="27"/>
    </row>
    <row r="64" spans="1:17" ht="13.5">
      <c r="A64">
        <f t="shared" si="8"/>
        <v>31.947999937062274</v>
      </c>
      <c r="B64" s="27">
        <f t="shared" si="0"/>
        <v>0.3303912751400561</v>
      </c>
      <c r="C64" s="27">
        <f t="shared" si="1"/>
        <v>0.8582249776402034</v>
      </c>
      <c r="D64" s="27">
        <f t="shared" si="2"/>
        <v>0.6403254068100127</v>
      </c>
      <c r="E64">
        <f t="shared" si="6"/>
        <v>0.32016270340500635</v>
      </c>
      <c r="F64" s="27">
        <f t="shared" si="3"/>
        <v>0.14959500626970793</v>
      </c>
      <c r="G64" s="27">
        <f t="shared" si="7"/>
        <v>1.3769093112961464</v>
      </c>
      <c r="H64" s="27">
        <f t="shared" si="4"/>
        <v>0.5922575395524458</v>
      </c>
      <c r="I64" s="27">
        <f t="shared" si="5"/>
        <v>0.05150550577227285</v>
      </c>
      <c r="J64" s="27">
        <f t="shared" si="9"/>
        <v>0.2666514267765939</v>
      </c>
      <c r="L64" s="27"/>
      <c r="M64" s="27"/>
      <c r="N64" s="27"/>
      <c r="O64" s="27"/>
      <c r="P64" s="27"/>
      <c r="Q64" s="27"/>
    </row>
    <row r="65" spans="1:17" ht="13.5">
      <c r="A65">
        <f t="shared" si="8"/>
        <v>38.33759992447473</v>
      </c>
      <c r="B65" s="27">
        <f t="shared" si="0"/>
        <v>0.4174999299816058</v>
      </c>
      <c r="C65" s="27">
        <f t="shared" si="1"/>
        <v>0.8273009546747816</v>
      </c>
      <c r="D65" s="27">
        <f t="shared" si="2"/>
        <v>0.5548996324500156</v>
      </c>
      <c r="E65">
        <f t="shared" si="6"/>
        <v>0.2774498162250078</v>
      </c>
      <c r="F65" s="27">
        <f t="shared" si="3"/>
        <v>0.1299043652797286</v>
      </c>
      <c r="G65" s="27">
        <f t="shared" si="7"/>
        <v>1.464017966137696</v>
      </c>
      <c r="H65" s="27">
        <f t="shared" si="4"/>
        <v>0.5773642110262944</v>
      </c>
      <c r="I65" s="27">
        <f t="shared" si="5"/>
        <v>0.03841171115108396</v>
      </c>
      <c r="J65" s="27">
        <f t="shared" si="9"/>
        <v>0.13225584378797456</v>
      </c>
      <c r="L65" s="27"/>
      <c r="M65" s="27"/>
      <c r="N65" s="27"/>
      <c r="O65" s="27"/>
      <c r="P65" s="27"/>
      <c r="Q65" s="27"/>
    </row>
    <row r="66" spans="1:17" ht="13.5">
      <c r="A66">
        <f t="shared" si="8"/>
        <v>46.005119909369675</v>
      </c>
      <c r="B66" s="27">
        <f t="shared" si="0"/>
        <v>0.5046085848231555</v>
      </c>
      <c r="C66" s="27">
        <f t="shared" si="1"/>
        <v>0.7985279664531755</v>
      </c>
      <c r="D66" s="27">
        <f t="shared" si="2"/>
        <v>0.4754594960153683</v>
      </c>
      <c r="E66">
        <f t="shared" si="6"/>
        <v>0.23772974800768415</v>
      </c>
      <c r="F66" s="27">
        <f t="shared" si="3"/>
        <v>0.11159341383154239</v>
      </c>
      <c r="G66" s="27">
        <f t="shared" si="7"/>
        <v>1.5511266209792458</v>
      </c>
      <c r="H66" s="27">
        <f t="shared" si="4"/>
        <v>0.5632015451615993</v>
      </c>
      <c r="I66" s="27">
        <f t="shared" si="5"/>
        <v>0.02826242709769212</v>
      </c>
      <c r="J66" s="27">
        <f t="shared" si="9"/>
        <v>0.06327406595746692</v>
      </c>
      <c r="L66" s="27"/>
      <c r="M66" s="27"/>
      <c r="N66" s="27"/>
      <c r="O66" s="27"/>
      <c r="P66" s="27"/>
      <c r="Q66" s="27"/>
    </row>
    <row r="67" spans="1:17" ht="13.5">
      <c r="A67">
        <f t="shared" si="8"/>
        <v>55.206143891243606</v>
      </c>
      <c r="B67" s="27">
        <f t="shared" si="0"/>
        <v>0.5917172396647052</v>
      </c>
      <c r="C67" s="27">
        <f t="shared" si="1"/>
        <v>0.7716891215566184</v>
      </c>
      <c r="D67" s="27">
        <f t="shared" si="2"/>
        <v>0.4026968156319558</v>
      </c>
      <c r="E67">
        <f t="shared" si="6"/>
        <v>0.2013484078159779</v>
      </c>
      <c r="F67" s="27">
        <f t="shared" si="3"/>
        <v>0.09482161600316583</v>
      </c>
      <c r="G67" s="27">
        <f t="shared" si="7"/>
        <v>1.6382352758207954</v>
      </c>
      <c r="H67" s="27">
        <f t="shared" si="4"/>
        <v>0.5497170601614803</v>
      </c>
      <c r="I67" s="27">
        <f t="shared" si="5"/>
        <v>0.020513834672877842</v>
      </c>
      <c r="J67" s="27">
        <f t="shared" si="9"/>
        <v>0.029187189017039507</v>
      </c>
      <c r="L67" s="27"/>
      <c r="M67" s="27"/>
      <c r="N67" s="27"/>
      <c r="O67" s="27"/>
      <c r="P67" s="27"/>
      <c r="Q67" s="27"/>
    </row>
    <row r="68" spans="1:17" ht="13.5">
      <c r="A68">
        <f t="shared" si="8"/>
        <v>66.24737266949232</v>
      </c>
      <c r="B68" s="27">
        <f t="shared" si="0"/>
        <v>0.6788258945062549</v>
      </c>
      <c r="C68" s="27">
        <f t="shared" si="1"/>
        <v>0.7465957396117482</v>
      </c>
      <c r="D68" s="27">
        <f t="shared" si="2"/>
        <v>0.3370528179187779</v>
      </c>
      <c r="E68">
        <f t="shared" si="6"/>
        <v>0.16852640895938895</v>
      </c>
      <c r="F68" s="27">
        <f t="shared" si="3"/>
        <v>0.07969067453027831</v>
      </c>
      <c r="G68" s="27">
        <f t="shared" si="7"/>
        <v>1.725343930662345</v>
      </c>
      <c r="H68" s="27">
        <f t="shared" si="4"/>
        <v>0.5368631828966222</v>
      </c>
      <c r="I68" s="27">
        <f t="shared" si="5"/>
        <v>0.014687066340618728</v>
      </c>
      <c r="J68" s="27">
        <f t="shared" si="9"/>
        <v>0.012976109304585577</v>
      </c>
      <c r="L68" s="27"/>
      <c r="M68" s="27"/>
      <c r="N68" s="27"/>
      <c r="O68" s="27"/>
      <c r="P68" s="27"/>
      <c r="Q68" s="27"/>
    </row>
    <row r="69" spans="1:17" ht="13.5">
      <c r="A69">
        <f t="shared" si="8"/>
        <v>79.49684720339079</v>
      </c>
      <c r="B69" s="27">
        <f t="shared" si="0"/>
        <v>0.7659345493478046</v>
      </c>
      <c r="C69" s="27">
        <f t="shared" si="1"/>
        <v>0.7230829089833638</v>
      </c>
      <c r="D69" s="27">
        <f t="shared" si="2"/>
        <v>0.2787218840065307</v>
      </c>
      <c r="E69">
        <f t="shared" si="6"/>
        <v>0.13936094200326535</v>
      </c>
      <c r="F69" s="27">
        <f t="shared" si="3"/>
        <v>0.06624539426350533</v>
      </c>
      <c r="G69" s="27">
        <f t="shared" si="7"/>
        <v>1.8124525855038947</v>
      </c>
      <c r="H69" s="27">
        <f t="shared" si="4"/>
        <v>0.5245966881279019</v>
      </c>
      <c r="I69" s="27">
        <f t="shared" si="5"/>
        <v>0.01037137671534181</v>
      </c>
      <c r="J69" s="27">
        <f t="shared" si="9"/>
        <v>0.005558091419652563</v>
      </c>
      <c r="L69" s="27"/>
      <c r="M69" s="27"/>
      <c r="N69" s="27"/>
      <c r="O69" s="27"/>
      <c r="P69" s="27"/>
      <c r="Q69" s="27"/>
    </row>
    <row r="70" spans="1:17" ht="13.5">
      <c r="A70">
        <f t="shared" si="8"/>
        <v>95.39621664406894</v>
      </c>
      <c r="B70" s="27">
        <f t="shared" si="0"/>
        <v>0.8530432041893543</v>
      </c>
      <c r="C70" s="27">
        <f t="shared" si="1"/>
        <v>0.7010058582580306</v>
      </c>
      <c r="D70" s="27">
        <f t="shared" si="2"/>
        <v>0.22766898886236256</v>
      </c>
      <c r="E70">
        <f t="shared" si="6"/>
        <v>0.11383449443118128</v>
      </c>
      <c r="F70" s="27">
        <f t="shared" si="3"/>
        <v>0.054477701932774576</v>
      </c>
      <c r="G70" s="27">
        <f t="shared" si="7"/>
        <v>1.8995612403454445</v>
      </c>
      <c r="H70" s="27">
        <f t="shared" si="4"/>
        <v>0.5128782128891067</v>
      </c>
      <c r="I70" s="27">
        <f t="shared" si="5"/>
        <v>0.007222974785874214</v>
      </c>
      <c r="J70" s="27">
        <f t="shared" si="9"/>
        <v>0.0022929327256048615</v>
      </c>
      <c r="L70" s="27"/>
      <c r="M70" s="27"/>
      <c r="N70" s="27"/>
      <c r="O70" s="27"/>
      <c r="P70" s="27"/>
      <c r="Q70" s="27"/>
    </row>
    <row r="71" spans="1:17" ht="13.5">
      <c r="A71">
        <f t="shared" si="8"/>
        <v>114.47545997288273</v>
      </c>
      <c r="B71" s="27">
        <f t="shared" si="0"/>
        <v>0.940151859030904</v>
      </c>
      <c r="C71" s="27">
        <f t="shared" si="1"/>
        <v>0.6802369727457598</v>
      </c>
      <c r="D71" s="27">
        <f t="shared" si="2"/>
        <v>0.1836581811158626</v>
      </c>
      <c r="E71">
        <f t="shared" si="6"/>
        <v>0.0918290905579313</v>
      </c>
      <c r="F71" s="27">
        <f t="shared" si="3"/>
        <v>0.044333210747206336</v>
      </c>
      <c r="G71" s="27">
        <f t="shared" si="7"/>
        <v>1.9866698951869943</v>
      </c>
      <c r="H71" s="27">
        <f t="shared" si="4"/>
        <v>0.5016718345340179</v>
      </c>
      <c r="I71" s="27">
        <f t="shared" si="5"/>
        <v>0.004960688073639551</v>
      </c>
      <c r="J71" s="27">
        <f t="shared" si="9"/>
        <v>0.0009107686528029436</v>
      </c>
      <c r="L71" s="27"/>
      <c r="M71" s="27"/>
      <c r="N71" s="27"/>
      <c r="O71" s="27"/>
      <c r="P71" s="27"/>
      <c r="Q71" s="27"/>
    </row>
    <row r="72" spans="1:17" ht="13.5">
      <c r="A72">
        <f t="shared" si="8"/>
        <v>137.37055196745928</v>
      </c>
      <c r="B72" s="27">
        <f t="shared" si="0"/>
        <v>1.0272605138724538</v>
      </c>
      <c r="C72" s="27">
        <f t="shared" si="1"/>
        <v>0.6606633260781417</v>
      </c>
      <c r="D72" s="27">
        <f t="shared" si="2"/>
        <v>0.1462888076170137</v>
      </c>
      <c r="E72">
        <f t="shared" si="6"/>
        <v>0.07314440380850686</v>
      </c>
      <c r="F72" s="27">
        <f t="shared" si="3"/>
        <v>0.035719570155721664</v>
      </c>
      <c r="G72" s="27">
        <f t="shared" si="7"/>
        <v>2.073778550028544</v>
      </c>
      <c r="H72" s="27">
        <f t="shared" si="4"/>
        <v>0.49094470291861747</v>
      </c>
      <c r="I72" s="27">
        <f t="shared" si="5"/>
        <v>0.0033595727183510418</v>
      </c>
      <c r="J72" s="27">
        <f t="shared" si="9"/>
        <v>0.00034821941689378537</v>
      </c>
      <c r="L72" s="27"/>
      <c r="M72" s="27"/>
      <c r="N72" s="27"/>
      <c r="O72" s="27"/>
      <c r="P72" s="27"/>
      <c r="Q72" s="27"/>
    </row>
    <row r="73" spans="1:17" ht="13.5">
      <c r="A73">
        <f t="shared" si="8"/>
        <v>164.84466236095113</v>
      </c>
      <c r="B73" s="27">
        <f t="shared" si="0"/>
        <v>1.1143691687140034</v>
      </c>
      <c r="C73" s="27">
        <f t="shared" si="1"/>
        <v>0.6421846260524879</v>
      </c>
      <c r="D73" s="27">
        <f t="shared" si="2"/>
        <v>0.11503594442760226</v>
      </c>
      <c r="E73">
        <f t="shared" si="6"/>
        <v>0.05751797221380113</v>
      </c>
      <c r="F73" s="27">
        <f t="shared" si="3"/>
        <v>0.028515785190562325</v>
      </c>
      <c r="G73" s="27">
        <f t="shared" si="7"/>
        <v>2.1608872048700936</v>
      </c>
      <c r="H73" s="27">
        <f t="shared" si="4"/>
        <v>0.4806667187851447</v>
      </c>
      <c r="I73" s="27">
        <f t="shared" si="5"/>
        <v>0.0022434419041175015</v>
      </c>
      <c r="J73" s="27">
        <f t="shared" si="9"/>
        <v>0.00012811869819170726</v>
      </c>
      <c r="L73" s="27"/>
      <c r="M73" s="27"/>
      <c r="N73" s="27"/>
      <c r="O73" s="27"/>
      <c r="P73" s="27"/>
      <c r="Q73" s="27"/>
    </row>
    <row r="74" spans="1:17" ht="13.5">
      <c r="A74">
        <f t="shared" si="8"/>
        <v>197.81359483314137</v>
      </c>
      <c r="B74" s="27">
        <f t="shared" si="0"/>
        <v>1.201477823555553</v>
      </c>
      <c r="C74" s="27">
        <f t="shared" si="1"/>
        <v>0.6247114958237646</v>
      </c>
      <c r="D74" s="27">
        <f t="shared" si="2"/>
        <v>0.08929163026604972</v>
      </c>
      <c r="E74">
        <f t="shared" si="6"/>
        <v>0.04464581513302486</v>
      </c>
      <c r="F74" s="27">
        <f t="shared" si="3"/>
        <v>0.022581720776324463</v>
      </c>
      <c r="G74" s="27">
        <f t="shared" si="7"/>
        <v>2.247995859711643</v>
      </c>
      <c r="H74" s="27">
        <f t="shared" si="4"/>
        <v>0.47081025171614954</v>
      </c>
      <c r="I74" s="27">
        <f t="shared" si="5"/>
        <v>0.0014770956012582148</v>
      </c>
      <c r="J74" s="27">
        <f t="shared" si="9"/>
        <v>4.535047326799585E-05</v>
      </c>
      <c r="L74" s="27"/>
      <c r="M74" s="27"/>
      <c r="N74" s="27"/>
      <c r="O74" s="27"/>
      <c r="P74" s="27"/>
      <c r="Q74" s="27"/>
    </row>
    <row r="75" spans="1:17" ht="13.5">
      <c r="A75">
        <f t="shared" si="8"/>
        <v>237.37631379976963</v>
      </c>
      <c r="B75" s="27">
        <f t="shared" si="0"/>
        <v>1.2885864783971028</v>
      </c>
      <c r="C75" s="27">
        <f t="shared" si="1"/>
        <v>0.6081640282650631</v>
      </c>
      <c r="D75" s="27">
        <f t="shared" si="2"/>
        <v>0.06840394239301185</v>
      </c>
      <c r="E75">
        <f t="shared" si="6"/>
        <v>0.03420197119650593</v>
      </c>
      <c r="F75" s="27">
        <f t="shared" si="3"/>
        <v>0.017767108721589236</v>
      </c>
      <c r="G75" s="27">
        <f t="shared" si="7"/>
        <v>2.3351045145531932</v>
      </c>
      <c r="H75" s="27">
        <f t="shared" si="4"/>
        <v>0.461349892092771</v>
      </c>
      <c r="I75" s="27">
        <f t="shared" si="5"/>
        <v>0.0009588298360024713</v>
      </c>
      <c r="J75" s="27">
        <f t="shared" si="9"/>
        <v>1.544059377494881E-05</v>
      </c>
      <c r="L75" s="27"/>
      <c r="M75" s="27"/>
      <c r="N75" s="27"/>
      <c r="O75" s="27"/>
      <c r="P75" s="27"/>
      <c r="Q75" s="27"/>
    </row>
    <row r="76" spans="1:17" ht="13.5">
      <c r="A76">
        <f t="shared" si="8"/>
        <v>284.8515765597235</v>
      </c>
      <c r="B76" s="27">
        <f aca="true" t="shared" si="10" ref="B76:B106">LN(A76/$C$12)/($C$13*2^0.5)</f>
        <v>1.3756951332386524</v>
      </c>
      <c r="C76" s="27">
        <f aca="true" t="shared" si="11" ref="C76:C106">1/(1+0.5*ABS(B76))</f>
        <v>0.5924705641534619</v>
      </c>
      <c r="D76" s="27">
        <f aca="true" t="shared" si="12" ref="D76:D106">C76*EXP(-ABS(B76)*ABS(B76)-1.26551223+C76*(1.00002368+C76*(0.37409196+C76*(0.09678418+C76*(-0.18628806+C76*(0.27886807+C76*(-1.13520398+C76*(1.48851587+C76*(-0.82215223+C76*0.17087277)))))))))</f>
        <v>0.05171161316576786</v>
      </c>
      <c r="E76">
        <f t="shared" si="6"/>
        <v>0.02585580658288393</v>
      </c>
      <c r="F76" s="27">
        <f aca="true" t="shared" si="13" ref="F76:F106">E76*($C$11-$C$10)+$C$10</f>
        <v>0.013919526834709492</v>
      </c>
      <c r="G76" s="27">
        <f t="shared" si="7"/>
        <v>2.422213169394743</v>
      </c>
      <c r="H76" s="27">
        <f aca="true" t="shared" si="14" ref="H76:H106">1/(1+0.5*ABS(G76))</f>
        <v>0.4522622323685348</v>
      </c>
      <c r="I76" s="27">
        <f aca="true" t="shared" si="15" ref="I76:I106">H76*EXP(-G76*G76-1.26551223+H76*(1.00002368+H76*(0.37409196+H76*(0.09678418+H76*(-0.18628806+H76*(0.27886807+H76*(-1.13520398+H76*(1.48851587+H76*(-0.82215223+H76*0.17087277)))))))))</f>
        <v>0.0006136086350616003</v>
      </c>
      <c r="J76" s="27">
        <f t="shared" si="9"/>
        <v>5.055561596847354E-06</v>
      </c>
      <c r="L76" s="27"/>
      <c r="M76" s="27"/>
      <c r="N76" s="27"/>
      <c r="O76" s="27"/>
      <c r="P76" s="27"/>
      <c r="Q76" s="27"/>
    </row>
    <row r="77" spans="1:17" ht="13.5">
      <c r="A77">
        <f t="shared" si="8"/>
        <v>341.82189187166824</v>
      </c>
      <c r="B77" s="27">
        <f t="shared" si="10"/>
        <v>1.462803788080202</v>
      </c>
      <c r="C77" s="27">
        <f t="shared" si="11"/>
        <v>0.5775666547681615</v>
      </c>
      <c r="D77" s="27">
        <f t="shared" si="12"/>
        <v>0.038572651499851784</v>
      </c>
      <c r="E77">
        <f aca="true" t="shared" si="16" ref="E77:E106">IF(B77&lt;0,(2-D77)/2,D77/2)</f>
        <v>0.019286325749925892</v>
      </c>
      <c r="F77" s="27">
        <f t="shared" si="13"/>
        <v>0.010890996170715837</v>
      </c>
      <c r="G77" s="27">
        <f t="shared" si="7"/>
        <v>2.5093218242362925</v>
      </c>
      <c r="H77" s="27">
        <f t="shared" si="14"/>
        <v>0.4435256736945636</v>
      </c>
      <c r="I77" s="27">
        <f t="shared" si="15"/>
        <v>0.0003871129813353813</v>
      </c>
      <c r="J77" s="27">
        <f aca="true" t="shared" si="17" ref="J77:J106">IF(G77&lt;0,$C$15*E77^$C$14*((2-I77)/2)^2,$C$15*E77^$C$14*(I77/2)^2)</f>
        <v>1.591530907603419E-06</v>
      </c>
      <c r="L77" s="27"/>
      <c r="M77" s="27"/>
      <c r="N77" s="27"/>
      <c r="O77" s="27"/>
      <c r="P77" s="27"/>
      <c r="Q77" s="27"/>
    </row>
    <row r="78" spans="1:17" ht="13.5">
      <c r="A78">
        <f aca="true" t="shared" si="18" ref="A78:A106">A77*1.2</f>
        <v>410.18627024600187</v>
      </c>
      <c r="B78" s="27">
        <f t="shared" si="10"/>
        <v>1.549912442921752</v>
      </c>
      <c r="C78" s="27">
        <f t="shared" si="11"/>
        <v>0.5633941772248056</v>
      </c>
      <c r="D78" s="27">
        <f t="shared" si="12"/>
        <v>0.028386205687874224</v>
      </c>
      <c r="E78">
        <f t="shared" si="16"/>
        <v>0.014193102843937112</v>
      </c>
      <c r="F78" s="27">
        <f t="shared" si="13"/>
        <v>0.008543020411055008</v>
      </c>
      <c r="G78" s="27">
        <f t="shared" si="7"/>
        <v>2.596430479077842</v>
      </c>
      <c r="H78" s="27">
        <f t="shared" si="14"/>
        <v>0.4351202545330892</v>
      </c>
      <c r="I78" s="27">
        <f t="shared" si="15"/>
        <v>0.00024074713193858598</v>
      </c>
      <c r="J78" s="27">
        <f t="shared" si="17"/>
        <v>4.816417574808393E-07</v>
      </c>
      <c r="L78" s="27"/>
      <c r="M78" s="27"/>
      <c r="N78" s="27"/>
      <c r="O78" s="27"/>
      <c r="P78" s="27"/>
      <c r="Q78" s="27"/>
    </row>
    <row r="79" spans="1:17" ht="13.5">
      <c r="A79">
        <f t="shared" si="18"/>
        <v>492.2235242952022</v>
      </c>
      <c r="B79" s="27">
        <f t="shared" si="10"/>
        <v>1.6370210977633015</v>
      </c>
      <c r="C79" s="27">
        <f t="shared" si="11"/>
        <v>0.5499005769391775</v>
      </c>
      <c r="D79" s="27">
        <f t="shared" si="12"/>
        <v>0.020607598505763703</v>
      </c>
      <c r="E79">
        <f t="shared" si="16"/>
        <v>0.010303799252881852</v>
      </c>
      <c r="F79" s="27">
        <f t="shared" si="13"/>
        <v>0.006750051455578534</v>
      </c>
      <c r="G79" s="27">
        <f t="shared" si="7"/>
        <v>2.6835391339193917</v>
      </c>
      <c r="H79" s="27">
        <f t="shared" si="14"/>
        <v>0.42702749839656234</v>
      </c>
      <c r="I79" s="27">
        <f t="shared" si="15"/>
        <v>0.0001475854956620656</v>
      </c>
      <c r="J79" s="27">
        <f t="shared" si="17"/>
        <v>1.400958517934393E-07</v>
      </c>
      <c r="L79" s="27"/>
      <c r="M79" s="27"/>
      <c r="N79" s="27"/>
      <c r="O79" s="27"/>
      <c r="P79" s="27"/>
      <c r="Q79" s="27"/>
    </row>
    <row r="80" spans="1:17" ht="13.5">
      <c r="A80">
        <f t="shared" si="18"/>
        <v>590.6682291542426</v>
      </c>
      <c r="B80" s="27">
        <f t="shared" si="10"/>
        <v>1.7241297526048511</v>
      </c>
      <c r="C80" s="27">
        <f t="shared" si="11"/>
        <v>0.5370382164050798</v>
      </c>
      <c r="D80" s="27">
        <f t="shared" si="12"/>
        <v>0.014757023859490808</v>
      </c>
      <c r="E80">
        <f t="shared" si="16"/>
        <v>0.007378511929745404</v>
      </c>
      <c r="F80" s="27">
        <f t="shared" si="13"/>
        <v>0.005401493999612631</v>
      </c>
      <c r="G80" s="27">
        <f t="shared" si="7"/>
        <v>2.7706477887609413</v>
      </c>
      <c r="H80" s="27">
        <f t="shared" si="14"/>
        <v>0.419230278267818</v>
      </c>
      <c r="I80" s="27">
        <f t="shared" si="15"/>
        <v>8.918024147916115E-05</v>
      </c>
      <c r="J80" s="27">
        <f t="shared" si="17"/>
        <v>3.916086928978634E-08</v>
      </c>
      <c r="L80" s="27"/>
      <c r="M80" s="27"/>
      <c r="N80" s="27"/>
      <c r="O80" s="27"/>
      <c r="P80" s="27"/>
      <c r="Q80" s="27"/>
    </row>
    <row r="81" spans="1:17" ht="13.5">
      <c r="A81">
        <f t="shared" si="18"/>
        <v>708.8018749850911</v>
      </c>
      <c r="B81" s="27">
        <f t="shared" si="10"/>
        <v>1.8112384074464007</v>
      </c>
      <c r="C81" s="27">
        <f t="shared" si="11"/>
        <v>0.5247638132771748</v>
      </c>
      <c r="D81" s="27">
        <f t="shared" si="12"/>
        <v>0.010422786131183305</v>
      </c>
      <c r="E81">
        <f t="shared" si="16"/>
        <v>0.005211393065591653</v>
      </c>
      <c r="F81" s="27">
        <f t="shared" si="13"/>
        <v>0.004402452203237752</v>
      </c>
      <c r="G81" s="27">
        <f t="shared" si="7"/>
        <v>2.857756443602491</v>
      </c>
      <c r="H81" s="27">
        <f t="shared" si="14"/>
        <v>0.4117126956074415</v>
      </c>
      <c r="I81" s="27">
        <f t="shared" si="15"/>
        <v>5.311538706810456E-05</v>
      </c>
      <c r="J81" s="27">
        <f t="shared" si="17"/>
        <v>1.0518256916877905E-08</v>
      </c>
      <c r="L81" s="27"/>
      <c r="M81" s="27"/>
      <c r="N81" s="27"/>
      <c r="O81" s="27"/>
      <c r="P81" s="27"/>
      <c r="Q81" s="27"/>
    </row>
    <row r="82" spans="1:17" ht="13.5">
      <c r="A82">
        <f t="shared" si="18"/>
        <v>850.5622499821093</v>
      </c>
      <c r="B82" s="27">
        <f t="shared" si="10"/>
        <v>1.8983470622879506</v>
      </c>
      <c r="C82" s="27">
        <f t="shared" si="11"/>
        <v>0.5130379537901365</v>
      </c>
      <c r="D82" s="27">
        <f t="shared" si="12"/>
        <v>0.007260184828122865</v>
      </c>
      <c r="E82">
        <f t="shared" si="16"/>
        <v>0.0036300924140614324</v>
      </c>
      <c r="F82" s="27">
        <f t="shared" si="13"/>
        <v>0.0036734726028823206</v>
      </c>
      <c r="G82" s="27">
        <f t="shared" si="7"/>
        <v>2.9448650984440405</v>
      </c>
      <c r="H82" s="27">
        <f t="shared" si="14"/>
        <v>0.4044599721495584</v>
      </c>
      <c r="I82" s="27">
        <f t="shared" si="15"/>
        <v>3.1180576052493896E-05</v>
      </c>
      <c r="J82" s="27">
        <f t="shared" si="17"/>
        <v>2.7142036022141544E-09</v>
      </c>
      <c r="L82" s="27"/>
      <c r="M82" s="27"/>
      <c r="N82" s="27"/>
      <c r="O82" s="27"/>
      <c r="P82" s="27"/>
      <c r="Q82" s="27"/>
    </row>
    <row r="83" spans="1:17" ht="13.5">
      <c r="A83">
        <f t="shared" si="18"/>
        <v>1020.6746999785311</v>
      </c>
      <c r="B83" s="27">
        <f t="shared" si="10"/>
        <v>1.9854557171295</v>
      </c>
      <c r="C83" s="27">
        <f t="shared" si="11"/>
        <v>0.501824669987925</v>
      </c>
      <c r="D83" s="27">
        <f t="shared" si="12"/>
        <v>0.004987214996788655</v>
      </c>
      <c r="E83">
        <f t="shared" si="16"/>
        <v>0.0024936074983943277</v>
      </c>
      <c r="F83" s="27">
        <f t="shared" si="13"/>
        <v>0.003149553056759785</v>
      </c>
      <c r="G83" s="27">
        <f t="shared" si="7"/>
        <v>3.03197375328559</v>
      </c>
      <c r="H83" s="27">
        <f t="shared" si="14"/>
        <v>0.39745835293638304</v>
      </c>
      <c r="I83" s="27">
        <f t="shared" si="15"/>
        <v>1.804040395197825E-05</v>
      </c>
      <c r="J83" s="27">
        <f t="shared" si="17"/>
        <v>6.728139701886167E-10</v>
      </c>
      <c r="L83" s="27"/>
      <c r="M83" s="27"/>
      <c r="N83" s="27"/>
      <c r="O83" s="27"/>
      <c r="P83" s="27"/>
      <c r="Q83" s="27"/>
    </row>
    <row r="84" spans="1:17" ht="13.5">
      <c r="A84">
        <f t="shared" si="18"/>
        <v>1224.8096399742371</v>
      </c>
      <c r="B84" s="27">
        <f t="shared" si="10"/>
        <v>2.07256437197105</v>
      </c>
      <c r="C84" s="27">
        <f t="shared" si="11"/>
        <v>0.49109107120927725</v>
      </c>
      <c r="D84" s="27">
        <f t="shared" si="12"/>
        <v>0.00337819885634499</v>
      </c>
      <c r="E84">
        <f t="shared" si="16"/>
        <v>0.001689099428172495</v>
      </c>
      <c r="F84" s="27">
        <f t="shared" si="13"/>
        <v>0.00277867483638752</v>
      </c>
      <c r="G84" s="27">
        <f t="shared" si="7"/>
        <v>3.1190824081271398</v>
      </c>
      <c r="H84" s="27">
        <f t="shared" si="14"/>
        <v>0.390695019252819</v>
      </c>
      <c r="I84" s="27">
        <f t="shared" si="15"/>
        <v>1.0287120774485888E-05</v>
      </c>
      <c r="J84" s="27">
        <f t="shared" si="17"/>
        <v>1.6019607010613094E-10</v>
      </c>
      <c r="L84" s="27"/>
      <c r="M84" s="27"/>
      <c r="N84" s="27"/>
      <c r="O84" s="27"/>
      <c r="P84" s="27"/>
      <c r="Q84" s="27"/>
    </row>
    <row r="85" spans="1:17" ht="13.5">
      <c r="A85">
        <f t="shared" si="18"/>
        <v>1469.7715679690846</v>
      </c>
      <c r="B85" s="27">
        <f t="shared" si="10"/>
        <v>2.1596730268126</v>
      </c>
      <c r="C85" s="27">
        <f t="shared" si="11"/>
        <v>0.4808070218760738</v>
      </c>
      <c r="D85" s="27">
        <f t="shared" si="12"/>
        <v>0.0022563234496525086</v>
      </c>
      <c r="E85">
        <f t="shared" si="16"/>
        <v>0.0011281617248262543</v>
      </c>
      <c r="F85" s="27">
        <f t="shared" si="13"/>
        <v>0.0025200825551449034</v>
      </c>
      <c r="G85" s="27">
        <f t="shared" si="7"/>
        <v>3.2061910629686903</v>
      </c>
      <c r="H85" s="27">
        <f t="shared" si="14"/>
        <v>0.3841580103015954</v>
      </c>
      <c r="I85" s="27">
        <f t="shared" si="15"/>
        <v>5.781157275209492E-06</v>
      </c>
      <c r="J85" s="27">
        <f t="shared" si="17"/>
        <v>3.663250913536114E-11</v>
      </c>
      <c r="L85" s="27"/>
      <c r="M85" s="27"/>
      <c r="N85" s="27"/>
      <c r="O85" s="27"/>
      <c r="P85" s="27"/>
      <c r="Q85" s="27"/>
    </row>
    <row r="86" spans="1:17" ht="13.5">
      <c r="A86">
        <f t="shared" si="18"/>
        <v>1763.7258815629013</v>
      </c>
      <c r="B86" s="27">
        <f t="shared" si="10"/>
        <v>2.246781681654149</v>
      </c>
      <c r="C86" s="27">
        <f t="shared" si="11"/>
        <v>0.4709448589363292</v>
      </c>
      <c r="D86" s="27">
        <f t="shared" si="12"/>
        <v>0.001485870100669039</v>
      </c>
      <c r="E86">
        <f t="shared" si="16"/>
        <v>0.0007429350503345196</v>
      </c>
      <c r="F86" s="27">
        <f t="shared" si="13"/>
        <v>0.0023424930582042133</v>
      </c>
      <c r="G86" s="27">
        <f t="shared" si="7"/>
        <v>3.293299717810239</v>
      </c>
      <c r="H86" s="27">
        <f t="shared" si="14"/>
        <v>0.3778361526120744</v>
      </c>
      <c r="I86" s="27">
        <f t="shared" si="15"/>
        <v>3.2018260466838853E-06</v>
      </c>
      <c r="J86" s="27">
        <f t="shared" si="17"/>
        <v>8.044446239086436E-12</v>
      </c>
      <c r="L86" s="27"/>
      <c r="M86" s="27"/>
      <c r="N86" s="27"/>
      <c r="O86" s="27"/>
      <c r="P86" s="27"/>
      <c r="Q86" s="27"/>
    </row>
    <row r="87" spans="1:17" ht="13.5">
      <c r="A87">
        <f t="shared" si="18"/>
        <v>2116.4710578754816</v>
      </c>
      <c r="B87" s="27">
        <f t="shared" si="10"/>
        <v>2.333890336495699</v>
      </c>
      <c r="C87" s="27">
        <f t="shared" si="11"/>
        <v>0.4614791433825623</v>
      </c>
      <c r="D87" s="27">
        <f t="shared" si="12"/>
        <v>0.0009647167263156255</v>
      </c>
      <c r="E87">
        <f t="shared" si="16"/>
        <v>0.00048235836315781275</v>
      </c>
      <c r="F87" s="27">
        <f t="shared" si="13"/>
        <v>0.0022223672054157515</v>
      </c>
      <c r="G87" s="27">
        <f t="shared" si="7"/>
        <v>3.3804083726517895</v>
      </c>
      <c r="H87" s="27">
        <f t="shared" si="14"/>
        <v>0.3717189963062747</v>
      </c>
      <c r="I87" s="27">
        <f t="shared" si="15"/>
        <v>1.7475596128825713E-06</v>
      </c>
      <c r="J87" s="27">
        <f t="shared" si="17"/>
        <v>1.696289046000151E-12</v>
      </c>
      <c r="L87" s="27"/>
      <c r="M87" s="27"/>
      <c r="N87" s="27"/>
      <c r="O87" s="27"/>
      <c r="P87" s="27"/>
      <c r="Q87" s="27"/>
    </row>
    <row r="88" spans="1:17" ht="13.5">
      <c r="A88">
        <f t="shared" si="18"/>
        <v>2539.7652694505778</v>
      </c>
      <c r="B88" s="27">
        <f t="shared" si="10"/>
        <v>2.4209989913372487</v>
      </c>
      <c r="C88" s="27">
        <f t="shared" si="11"/>
        <v>0.4523864411457481</v>
      </c>
      <c r="D88" s="27">
        <f t="shared" si="12"/>
        <v>0.0006174987170711999</v>
      </c>
      <c r="E88">
        <f t="shared" si="16"/>
        <v>0.00030874935853559995</v>
      </c>
      <c r="F88" s="27">
        <f t="shared" si="13"/>
        <v>0.0021423334542849115</v>
      </c>
      <c r="G88" s="27">
        <f t="shared" si="7"/>
        <v>3.467517027493339</v>
      </c>
      <c r="H88" s="27">
        <f t="shared" si="14"/>
        <v>0.36579675745736606</v>
      </c>
      <c r="I88" s="27">
        <f t="shared" si="15"/>
        <v>9.399559978308589E-07</v>
      </c>
      <c r="J88" s="27">
        <f t="shared" si="17"/>
        <v>3.434313260345973E-13</v>
      </c>
      <c r="L88" s="27"/>
      <c r="M88" s="27"/>
      <c r="N88" s="27"/>
      <c r="O88" s="27"/>
      <c r="P88" s="27"/>
      <c r="Q88" s="27"/>
    </row>
    <row r="89" spans="1:17" ht="13.5">
      <c r="A89">
        <f t="shared" si="18"/>
        <v>3047.718323340693</v>
      </c>
      <c r="B89" s="27">
        <f t="shared" si="10"/>
        <v>2.5081076461787983</v>
      </c>
      <c r="C89" s="27">
        <f t="shared" si="11"/>
        <v>0.4436451293915436</v>
      </c>
      <c r="D89" s="27">
        <f t="shared" si="12"/>
        <v>0.00038964484775323705</v>
      </c>
      <c r="E89">
        <f t="shared" si="16"/>
        <v>0.00019482242387661852</v>
      </c>
      <c r="F89" s="27">
        <f t="shared" si="13"/>
        <v>0.002089813137407121</v>
      </c>
      <c r="G89" s="27">
        <f t="shared" si="7"/>
        <v>3.5546256823348887</v>
      </c>
      <c r="H89" s="27">
        <f t="shared" si="14"/>
        <v>0.3600602658718309</v>
      </c>
      <c r="I89" s="27">
        <f t="shared" si="15"/>
        <v>4.982127382535426E-07</v>
      </c>
      <c r="J89" s="27">
        <f t="shared" si="17"/>
        <v>6.675454148057186E-14</v>
      </c>
      <c r="L89" s="27"/>
      <c r="M89" s="27"/>
      <c r="N89" s="27"/>
      <c r="O89" s="27"/>
      <c r="P89" s="27"/>
      <c r="Q89" s="27"/>
    </row>
    <row r="90" spans="1:17" ht="13.5">
      <c r="A90">
        <f t="shared" si="18"/>
        <v>3657.261988008832</v>
      </c>
      <c r="B90" s="27">
        <f t="shared" si="10"/>
        <v>2.595216301020348</v>
      </c>
      <c r="C90" s="27">
        <f t="shared" si="11"/>
        <v>0.43523522484804655</v>
      </c>
      <c r="D90" s="27">
        <f t="shared" si="12"/>
        <v>0.00024237018245761634</v>
      </c>
      <c r="E90">
        <f t="shared" si="16"/>
        <v>0.00012118509122880817</v>
      </c>
      <c r="F90" s="27">
        <f t="shared" si="13"/>
        <v>0.002055866327056481</v>
      </c>
      <c r="G90" s="27">
        <f t="shared" si="7"/>
        <v>3.6417343371764384</v>
      </c>
      <c r="H90" s="27">
        <f t="shared" si="14"/>
        <v>0.3545009177091021</v>
      </c>
      <c r="I90" s="27">
        <f t="shared" si="15"/>
        <v>2.6022257636137857E-07</v>
      </c>
      <c r="J90" s="27">
        <f t="shared" si="17"/>
        <v>1.2456307150854204E-14</v>
      </c>
      <c r="L90" s="27"/>
      <c r="M90" s="27"/>
      <c r="N90" s="27"/>
      <c r="O90" s="27"/>
      <c r="P90" s="27"/>
      <c r="Q90" s="27"/>
    </row>
    <row r="91" spans="1:17" ht="13.5">
      <c r="A91">
        <f t="shared" si="18"/>
        <v>4388.714385610598</v>
      </c>
      <c r="B91" s="27">
        <f t="shared" si="10"/>
        <v>2.682324955861898</v>
      </c>
      <c r="C91" s="27">
        <f t="shared" si="11"/>
        <v>0.4271382312960059</v>
      </c>
      <c r="D91" s="27">
        <f t="shared" si="12"/>
        <v>0.00014861028006171265</v>
      </c>
      <c r="E91">
        <f t="shared" si="16"/>
        <v>7.430514003085632E-05</v>
      </c>
      <c r="F91" s="27">
        <f t="shared" si="13"/>
        <v>0.0020342546695542247</v>
      </c>
      <c r="G91" s="27">
        <f t="shared" si="7"/>
        <v>3.728842992017988</v>
      </c>
      <c r="H91" s="27">
        <f t="shared" si="14"/>
        <v>0.3491106324237905</v>
      </c>
      <c r="I91" s="27">
        <f t="shared" si="15"/>
        <v>1.339335934139208E-07</v>
      </c>
      <c r="J91" s="27">
        <f t="shared" si="17"/>
        <v>2.231177575061025E-15</v>
      </c>
      <c r="L91" s="27"/>
      <c r="M91" s="27"/>
      <c r="N91" s="28"/>
      <c r="O91" s="27"/>
      <c r="P91" s="27"/>
      <c r="Q91" s="27"/>
    </row>
    <row r="92" spans="1:17" ht="13.5">
      <c r="A92">
        <f t="shared" si="18"/>
        <v>5266.457262732717</v>
      </c>
      <c r="B92" s="27">
        <f t="shared" si="10"/>
        <v>2.769433610703447</v>
      </c>
      <c r="C92" s="27">
        <f t="shared" si="11"/>
        <v>0.41933700377161104</v>
      </c>
      <c r="D92" s="27">
        <f t="shared" si="12"/>
        <v>8.981753894478725E-05</v>
      </c>
      <c r="E92">
        <f t="shared" si="16"/>
        <v>4.4908769472393623E-05</v>
      </c>
      <c r="F92" s="27">
        <f t="shared" si="13"/>
        <v>0.0020207029427267735</v>
      </c>
      <c r="G92" s="27">
        <f t="shared" si="7"/>
        <v>3.8159516468595376</v>
      </c>
      <c r="H92" s="27">
        <f t="shared" si="14"/>
        <v>0.3438818135773099</v>
      </c>
      <c r="I92" s="27">
        <f t="shared" si="15"/>
        <v>6.792669782209107E-08</v>
      </c>
      <c r="J92" s="27">
        <f t="shared" si="17"/>
        <v>3.83606482532648E-16</v>
      </c>
      <c r="L92" s="27"/>
      <c r="M92" s="27"/>
      <c r="N92" s="27"/>
      <c r="O92" s="27"/>
      <c r="P92" s="27"/>
      <c r="Q92" s="27"/>
    </row>
    <row r="93" spans="1:17" ht="13.5">
      <c r="A93">
        <f t="shared" si="18"/>
        <v>6319.74871527926</v>
      </c>
      <c r="B93" s="27">
        <f t="shared" si="10"/>
        <v>2.8565422655449972</v>
      </c>
      <c r="C93" s="27">
        <f t="shared" si="11"/>
        <v>0.4118156273835211</v>
      </c>
      <c r="D93" s="27">
        <f t="shared" si="12"/>
        <v>5.350574328080672E-05</v>
      </c>
      <c r="E93">
        <f t="shared" si="16"/>
        <v>2.675287164040336E-05</v>
      </c>
      <c r="F93" s="27">
        <f t="shared" si="13"/>
        <v>0.0020123330738262258</v>
      </c>
      <c r="G93" s="27">
        <f t="shared" si="7"/>
        <v>3.903060301701087</v>
      </c>
      <c r="H93" s="27">
        <f t="shared" si="14"/>
        <v>0.33880731311920687</v>
      </c>
      <c r="I93" s="27">
        <f t="shared" si="15"/>
        <v>3.3946138552731895E-08</v>
      </c>
      <c r="J93" s="27">
        <f t="shared" si="17"/>
        <v>6.330195054530828E-17</v>
      </c>
      <c r="L93" s="27"/>
      <c r="M93" s="27"/>
      <c r="N93" s="27"/>
      <c r="O93" s="27"/>
      <c r="P93" s="27"/>
      <c r="Q93" s="27"/>
    </row>
    <row r="94" spans="1:17" ht="13.5">
      <c r="A94">
        <f t="shared" si="18"/>
        <v>7583.698458335111</v>
      </c>
      <c r="B94" s="27">
        <f t="shared" si="10"/>
        <v>2.9436509203865464</v>
      </c>
      <c r="C94" s="27">
        <f t="shared" si="11"/>
        <v>0.4045593089415826</v>
      </c>
      <c r="D94" s="27">
        <f t="shared" si="12"/>
        <v>3.141607513460877E-05</v>
      </c>
      <c r="E94">
        <f t="shared" si="16"/>
        <v>1.5708037567304386E-05</v>
      </c>
      <c r="F94" s="27">
        <f t="shared" si="13"/>
        <v>0.0020072414053185273</v>
      </c>
      <c r="G94" s="27">
        <f t="shared" si="7"/>
        <v>3.990168956542637</v>
      </c>
      <c r="H94" s="27">
        <f t="shared" si="14"/>
        <v>0.33388039878500286</v>
      </c>
      <c r="I94" s="27">
        <f t="shared" si="15"/>
        <v>1.671598682099584E-08</v>
      </c>
      <c r="J94" s="27">
        <f t="shared" si="17"/>
        <v>1.0025397331793736E-17</v>
      </c>
      <c r="L94" s="27"/>
      <c r="M94" s="27"/>
      <c r="N94" s="27"/>
      <c r="O94" s="27"/>
      <c r="P94" s="27"/>
      <c r="Q94" s="27"/>
    </row>
    <row r="95" spans="1:17" ht="13.5">
      <c r="A95">
        <f t="shared" si="18"/>
        <v>9100.438150002134</v>
      </c>
      <c r="B95" s="27">
        <f t="shared" si="10"/>
        <v>3.0307595752280965</v>
      </c>
      <c r="C95" s="27">
        <f t="shared" si="11"/>
        <v>0.3975542798443751</v>
      </c>
      <c r="D95" s="27">
        <f t="shared" si="12"/>
        <v>1.818033901915208E-05</v>
      </c>
      <c r="E95">
        <f t="shared" si="16"/>
        <v>9.09016950957604E-06</v>
      </c>
      <c r="F95" s="27">
        <f t="shared" si="13"/>
        <v>0.0020041905681439146</v>
      </c>
      <c r="G95" s="27">
        <f t="shared" si="7"/>
        <v>4.077277611384186</v>
      </c>
      <c r="H95" s="27">
        <f t="shared" si="14"/>
        <v>0.3290947242978541</v>
      </c>
      <c r="I95" s="27">
        <f t="shared" si="15"/>
        <v>8.110706188389494E-09</v>
      </c>
      <c r="J95" s="27">
        <f t="shared" si="17"/>
        <v>1.5237542597979844E-18</v>
      </c>
      <c r="L95" s="27"/>
      <c r="M95" s="27"/>
      <c r="N95" s="27"/>
      <c r="O95" s="27"/>
      <c r="P95" s="27"/>
      <c r="Q95" s="27"/>
    </row>
    <row r="96" spans="1:17" ht="13.5">
      <c r="A96">
        <f t="shared" si="18"/>
        <v>10920.52578000256</v>
      </c>
      <c r="B96" s="27">
        <f t="shared" si="10"/>
        <v>3.117868230069646</v>
      </c>
      <c r="C96" s="27">
        <f t="shared" si="11"/>
        <v>0.39078770888417014</v>
      </c>
      <c r="D96" s="27">
        <f t="shared" si="12"/>
        <v>1.0369018741556953E-05</v>
      </c>
      <c r="E96">
        <f t="shared" si="16"/>
        <v>5.184509370778477E-06</v>
      </c>
      <c r="F96" s="27">
        <f t="shared" si="13"/>
        <v>0.002002390058819929</v>
      </c>
      <c r="G96" s="27">
        <f t="shared" si="7"/>
        <v>4.164386266225736</v>
      </c>
      <c r="H96" s="27">
        <f t="shared" si="14"/>
        <v>0.3244443020966852</v>
      </c>
      <c r="I96" s="27">
        <f t="shared" si="15"/>
        <v>3.877608196215775E-09</v>
      </c>
      <c r="J96" s="27">
        <f t="shared" si="17"/>
        <v>2.222460183426697E-19</v>
      </c>
      <c r="L96" s="27"/>
      <c r="M96" s="27"/>
      <c r="N96" s="27"/>
      <c r="O96" s="27"/>
      <c r="P96" s="27"/>
      <c r="Q96" s="27"/>
    </row>
    <row r="97" spans="1:17" ht="13.5">
      <c r="A97">
        <f t="shared" si="18"/>
        <v>13104.63093600307</v>
      </c>
      <c r="B97" s="27">
        <f t="shared" si="10"/>
        <v>3.2049768849111957</v>
      </c>
      <c r="C97" s="27">
        <f t="shared" si="11"/>
        <v>0.3842476238074827</v>
      </c>
      <c r="D97" s="27">
        <f t="shared" si="12"/>
        <v>5.828366720958477E-06</v>
      </c>
      <c r="E97">
        <f t="shared" si="16"/>
        <v>2.9141833604792383E-06</v>
      </c>
      <c r="F97" s="27">
        <f t="shared" si="13"/>
        <v>0.002001343438529181</v>
      </c>
      <c r="G97" s="27">
        <f t="shared" si="7"/>
        <v>4.251494921067286</v>
      </c>
      <c r="H97" s="27">
        <f t="shared" si="14"/>
        <v>0.3199234783443686</v>
      </c>
      <c r="I97" s="27">
        <f t="shared" si="15"/>
        <v>1.8265926807377609E-09</v>
      </c>
      <c r="J97" s="27">
        <f t="shared" si="17"/>
        <v>3.1105481906551435E-20</v>
      </c>
      <c r="L97" s="27"/>
      <c r="M97" s="27"/>
      <c r="N97" s="27"/>
      <c r="O97" s="27"/>
      <c r="P97" s="27"/>
      <c r="Q97" s="27"/>
    </row>
    <row r="98" spans="1:17" ht="13.5">
      <c r="A98">
        <f t="shared" si="18"/>
        <v>15725.557123203684</v>
      </c>
      <c r="B98" s="27">
        <f t="shared" si="10"/>
        <v>3.2920855397527453</v>
      </c>
      <c r="C98" s="27">
        <f t="shared" si="11"/>
        <v>0.377922840622384</v>
      </c>
      <c r="D98" s="27">
        <f t="shared" si="12"/>
        <v>3.2286296944059933E-06</v>
      </c>
      <c r="E98">
        <f t="shared" si="16"/>
        <v>1.6143148472029966E-06</v>
      </c>
      <c r="F98" s="27">
        <f t="shared" si="13"/>
        <v>0.0020007441991445607</v>
      </c>
      <c r="G98" s="27">
        <f t="shared" si="7"/>
        <v>4.338603575908835</v>
      </c>
      <c r="H98" s="27">
        <f t="shared" si="14"/>
        <v>0.3155269099966136</v>
      </c>
      <c r="I98" s="27">
        <f t="shared" si="15"/>
        <v>8.477860559958031E-10</v>
      </c>
      <c r="J98" s="27">
        <f t="shared" si="17"/>
        <v>4.177371889650228E-21</v>
      </c>
      <c r="L98" s="29"/>
      <c r="M98" s="27"/>
      <c r="N98" s="30"/>
      <c r="O98" s="27"/>
      <c r="P98" s="27"/>
      <c r="Q98" s="27"/>
    </row>
    <row r="99" spans="1:17" ht="13.5">
      <c r="A99">
        <f t="shared" si="18"/>
        <v>18870.66854784442</v>
      </c>
      <c r="B99" s="27">
        <f t="shared" si="10"/>
        <v>3.3791941945942954</v>
      </c>
      <c r="C99" s="27">
        <f t="shared" si="11"/>
        <v>0.3718028997744414</v>
      </c>
      <c r="D99" s="27">
        <f t="shared" si="12"/>
        <v>1.7625484562317508E-06</v>
      </c>
      <c r="E99">
        <f t="shared" si="16"/>
        <v>8.812742281158754E-07</v>
      </c>
      <c r="F99" s="27">
        <f t="shared" si="13"/>
        <v>0.0020004062674191616</v>
      </c>
      <c r="G99" s="27">
        <f t="shared" si="7"/>
        <v>4.425712230750386</v>
      </c>
      <c r="H99" s="27">
        <f t="shared" si="14"/>
        <v>0.31124954373601676</v>
      </c>
      <c r="I99" s="27">
        <f t="shared" si="15"/>
        <v>3.876967105314267E-10</v>
      </c>
      <c r="J99" s="27">
        <f t="shared" si="17"/>
        <v>5.382860152514137E-22</v>
      </c>
      <c r="L99" s="27"/>
      <c r="M99" s="27"/>
      <c r="N99" s="27"/>
      <c r="O99" s="27"/>
      <c r="P99" s="27"/>
      <c r="Q99" s="27"/>
    </row>
    <row r="100" spans="1:17" ht="13.5">
      <c r="A100">
        <f t="shared" si="18"/>
        <v>22644.802257413303</v>
      </c>
      <c r="B100" s="27">
        <f t="shared" si="10"/>
        <v>3.4663028494358445</v>
      </c>
      <c r="C100" s="27">
        <f t="shared" si="11"/>
        <v>0.3658780084250934</v>
      </c>
      <c r="D100" s="27">
        <f t="shared" si="12"/>
        <v>9.482116532909426E-07</v>
      </c>
      <c r="E100">
        <f t="shared" si="16"/>
        <v>4.741058266454713E-07</v>
      </c>
      <c r="F100" s="27">
        <f t="shared" si="13"/>
        <v>0.0020002185627860836</v>
      </c>
      <c r="G100" s="27">
        <f t="shared" si="7"/>
        <v>4.5128208855919345</v>
      </c>
      <c r="H100" s="27">
        <f t="shared" si="14"/>
        <v>0.3070865965966489</v>
      </c>
      <c r="I100" s="27">
        <f t="shared" si="15"/>
        <v>1.746843696989339E-10</v>
      </c>
      <c r="J100" s="27">
        <f t="shared" si="17"/>
        <v>6.655004250995812E-23</v>
      </c>
      <c r="L100" s="27"/>
      <c r="M100" s="27"/>
      <c r="N100" s="27"/>
      <c r="O100" s="27"/>
      <c r="P100" s="27"/>
      <c r="Q100" s="27"/>
    </row>
    <row r="101" spans="1:17" ht="13.5">
      <c r="A101">
        <f t="shared" si="18"/>
        <v>27173.762708895963</v>
      </c>
      <c r="B101" s="27">
        <f t="shared" si="10"/>
        <v>3.5534115042773946</v>
      </c>
      <c r="C101" s="27">
        <f t="shared" si="11"/>
        <v>0.36013898816241935</v>
      </c>
      <c r="D101" s="27">
        <f t="shared" si="12"/>
        <v>5.02691358293181E-07</v>
      </c>
      <c r="E101">
        <f t="shared" si="16"/>
        <v>2.513456791465905E-07</v>
      </c>
      <c r="F101" s="27">
        <f t="shared" si="13"/>
        <v>0.0020001158703580866</v>
      </c>
      <c r="G101" s="27">
        <f t="shared" si="7"/>
        <v>4.599929540433485</v>
      </c>
      <c r="H101" s="27">
        <f t="shared" si="14"/>
        <v>0.3030335381229903</v>
      </c>
      <c r="I101" s="27">
        <f t="shared" si="15"/>
        <v>7.75473762919912E-11</v>
      </c>
      <c r="J101" s="27">
        <f t="shared" si="17"/>
        <v>7.893895355863936E-24</v>
      </c>
      <c r="L101" s="27"/>
      <c r="M101" s="27"/>
      <c r="N101" s="27"/>
      <c r="O101" s="27"/>
      <c r="P101" s="27"/>
      <c r="Q101" s="27"/>
    </row>
    <row r="102" spans="1:17" ht="13.5">
      <c r="A102">
        <f t="shared" si="18"/>
        <v>32608.515250675155</v>
      </c>
      <c r="B102" s="27">
        <f t="shared" si="10"/>
        <v>3.640520159118944</v>
      </c>
      <c r="C102" s="27">
        <f t="shared" si="11"/>
        <v>0.3545772275570419</v>
      </c>
      <c r="D102" s="27">
        <f t="shared" si="12"/>
        <v>2.6261559509366746E-07</v>
      </c>
      <c r="E102">
        <f t="shared" si="16"/>
        <v>1.3130779754683373E-07</v>
      </c>
      <c r="F102" s="27">
        <f t="shared" si="13"/>
        <v>0.002000060532894669</v>
      </c>
      <c r="G102" s="27">
        <f t="shared" si="7"/>
        <v>4.687038195275035</v>
      </c>
      <c r="H102" s="27">
        <f t="shared" si="14"/>
        <v>0.29908607392330605</v>
      </c>
      <c r="I102" s="27">
        <f t="shared" si="15"/>
        <v>3.391771484973357E-11</v>
      </c>
      <c r="J102" s="27">
        <f t="shared" si="17"/>
        <v>8.983086705852196E-25</v>
      </c>
      <c r="L102" s="27"/>
      <c r="M102" s="27"/>
      <c r="N102" s="27"/>
      <c r="O102" s="27"/>
      <c r="P102" s="27"/>
      <c r="Q102" s="27"/>
    </row>
    <row r="103" spans="1:17" ht="13.5">
      <c r="A103">
        <f t="shared" si="18"/>
        <v>39130.218300810186</v>
      </c>
      <c r="B103" s="27">
        <f t="shared" si="10"/>
        <v>3.727628813960494</v>
      </c>
      <c r="C103" s="27">
        <f t="shared" si="11"/>
        <v>0.34918463904735064</v>
      </c>
      <c r="D103" s="27">
        <f t="shared" si="12"/>
        <v>1.3519297459004278E-07</v>
      </c>
      <c r="E103">
        <f t="shared" si="16"/>
        <v>6.759648729502139E-08</v>
      </c>
      <c r="F103" s="27">
        <f t="shared" si="13"/>
        <v>0.002000031161980643</v>
      </c>
      <c r="G103" s="27">
        <f t="shared" si="7"/>
        <v>4.774146850116584</v>
      </c>
      <c r="H103" s="27">
        <f t="shared" si="14"/>
        <v>0.29524013049194225</v>
      </c>
      <c r="I103" s="27">
        <f t="shared" si="15"/>
        <v>1.461598143394274E-11</v>
      </c>
      <c r="J103" s="27">
        <f t="shared" si="17"/>
        <v>9.806979703525797E-26</v>
      </c>
      <c r="L103" s="27"/>
      <c r="M103" s="27"/>
      <c r="N103" s="27"/>
      <c r="O103" s="27"/>
      <c r="P103" s="27"/>
      <c r="Q103" s="27"/>
    </row>
    <row r="104" spans="1:17" ht="13.5">
      <c r="A104">
        <f t="shared" si="18"/>
        <v>46956.261960972224</v>
      </c>
      <c r="B104" s="27">
        <f t="shared" si="10"/>
        <v>3.8147374688020435</v>
      </c>
      <c r="C104" s="27">
        <f t="shared" si="11"/>
        <v>0.3439536197000553</v>
      </c>
      <c r="D104" s="27">
        <f t="shared" si="12"/>
        <v>6.857949387127501E-08</v>
      </c>
      <c r="E104">
        <f t="shared" si="16"/>
        <v>3.428974693563751E-08</v>
      </c>
      <c r="F104" s="27">
        <f t="shared" si="13"/>
        <v>0.0020000158075733376</v>
      </c>
      <c r="G104" s="27">
        <f t="shared" si="7"/>
        <v>4.861255504958134</v>
      </c>
      <c r="H104" s="27">
        <f t="shared" si="14"/>
        <v>0.2914918411877745</v>
      </c>
      <c r="I104" s="27">
        <f t="shared" si="15"/>
        <v>6.2053605414379044E-12</v>
      </c>
      <c r="J104" s="27">
        <f t="shared" si="17"/>
        <v>1.0270828373779472E-26</v>
      </c>
      <c r="L104" s="27"/>
      <c r="M104" s="27"/>
      <c r="N104" s="27"/>
      <c r="O104" s="27"/>
      <c r="P104" s="27"/>
      <c r="Q104" s="27"/>
    </row>
    <row r="105" spans="1:17" ht="13.5">
      <c r="A105">
        <f t="shared" si="18"/>
        <v>56347.51435316667</v>
      </c>
      <c r="B105" s="27">
        <f t="shared" si="10"/>
        <v>3.9018461236435935</v>
      </c>
      <c r="C105" s="27">
        <f t="shared" si="11"/>
        <v>0.33887701544568055</v>
      </c>
      <c r="D105" s="27">
        <f t="shared" si="12"/>
        <v>3.4279416868115404E-08</v>
      </c>
      <c r="E105">
        <f t="shared" si="16"/>
        <v>1.7139708434057702E-08</v>
      </c>
      <c r="F105" s="27">
        <f t="shared" si="13"/>
        <v>0.002000007901405588</v>
      </c>
      <c r="G105" s="27">
        <f t="shared" si="7"/>
        <v>4.9483641597996835</v>
      </c>
      <c r="H105" s="27">
        <f t="shared" si="14"/>
        <v>0.28783753326734945</v>
      </c>
      <c r="I105" s="27">
        <f t="shared" si="15"/>
        <v>2.595611027124907E-12</v>
      </c>
      <c r="J105" s="27">
        <f t="shared" si="17"/>
        <v>1.0318628421394589E-27</v>
      </c>
      <c r="L105" s="27"/>
      <c r="M105" s="27"/>
      <c r="N105" s="27"/>
      <c r="O105" s="27"/>
      <c r="P105" s="27"/>
      <c r="Q105" s="27"/>
    </row>
    <row r="106" spans="1:17" ht="13.5">
      <c r="A106">
        <f t="shared" si="18"/>
        <v>67617.0172238</v>
      </c>
      <c r="B106" s="27">
        <f t="shared" si="10"/>
        <v>3.988954778485143</v>
      </c>
      <c r="C106" s="27">
        <f t="shared" si="11"/>
        <v>0.333948088435205</v>
      </c>
      <c r="D106" s="27">
        <f t="shared" si="12"/>
        <v>1.6883575939964447E-08</v>
      </c>
      <c r="E106">
        <f t="shared" si="16"/>
        <v>8.441787969982223E-09</v>
      </c>
      <c r="F106" s="27">
        <f t="shared" si="13"/>
        <v>0.0020000038916642543</v>
      </c>
      <c r="G106" s="27">
        <f t="shared" si="7"/>
        <v>5.035472814641233</v>
      </c>
      <c r="H106" s="27">
        <f t="shared" si="14"/>
        <v>0.2842737158813097</v>
      </c>
      <c r="I106" s="27">
        <f t="shared" si="15"/>
        <v>1.0696503936131675E-12</v>
      </c>
      <c r="J106" s="27">
        <f t="shared" si="17"/>
        <v>9.94423253439708E-29</v>
      </c>
      <c r="L106" s="27"/>
      <c r="M106" s="27"/>
      <c r="N106" s="27"/>
      <c r="O106" s="27"/>
      <c r="P106" s="27"/>
      <c r="Q106" s="27"/>
    </row>
    <row r="107" spans="6:11" ht="13.5">
      <c r="F107" s="27"/>
      <c r="G107" s="27"/>
      <c r="H107" s="27"/>
      <c r="I107" s="27"/>
      <c r="J107" s="27"/>
      <c r="K107" s="27"/>
    </row>
    <row r="108" spans="6:11" ht="13.5">
      <c r="F108" s="27"/>
      <c r="G108" s="27"/>
      <c r="H108" s="27"/>
      <c r="I108" s="27"/>
      <c r="J108" s="27"/>
      <c r="K108" s="27"/>
    </row>
    <row r="109" spans="6:11" ht="13.5">
      <c r="F109" s="27"/>
      <c r="G109" s="27"/>
      <c r="H109" s="27"/>
      <c r="I109" s="27"/>
      <c r="J109" s="27"/>
      <c r="K109" s="27"/>
    </row>
    <row r="110" spans="6:11" ht="13.5">
      <c r="F110" s="27"/>
      <c r="G110" s="27"/>
      <c r="H110" s="27"/>
      <c r="I110" s="27"/>
      <c r="J110" s="27"/>
      <c r="K110" s="27"/>
    </row>
    <row r="111" spans="6:11" ht="13.5">
      <c r="F111" s="27"/>
      <c r="G111" s="27"/>
      <c r="H111" s="27"/>
      <c r="I111" s="27"/>
      <c r="J111" s="27"/>
      <c r="K111" s="27"/>
    </row>
    <row r="112" spans="6:11" ht="13.5">
      <c r="F112" s="27"/>
      <c r="G112" s="27"/>
      <c r="H112" s="27"/>
      <c r="I112" s="27"/>
      <c r="J112" s="27"/>
      <c r="K112" s="27"/>
    </row>
    <row r="113" spans="6:11" ht="13.5">
      <c r="F113" s="27"/>
      <c r="G113" s="27"/>
      <c r="H113" s="27"/>
      <c r="I113" s="27"/>
      <c r="J113" s="27"/>
      <c r="K113" s="27"/>
    </row>
    <row r="114" spans="6:11" ht="13.5">
      <c r="F114" s="27"/>
      <c r="G114" s="27"/>
      <c r="H114" s="27"/>
      <c r="I114" s="27"/>
      <c r="J114" s="27"/>
      <c r="K114" s="27"/>
    </row>
    <row r="115" spans="6:11" ht="13.5">
      <c r="F115" s="27"/>
      <c r="G115" s="27"/>
      <c r="H115" s="27"/>
      <c r="I115" s="27"/>
      <c r="J115" s="27"/>
      <c r="K115" s="27"/>
    </row>
    <row r="116" spans="6:11" ht="13.5">
      <c r="F116" s="27"/>
      <c r="G116" s="27"/>
      <c r="H116" s="27"/>
      <c r="I116" s="27"/>
      <c r="J116" s="27"/>
      <c r="K116" s="27"/>
    </row>
    <row r="117" spans="6:11" ht="13.5">
      <c r="F117" s="27"/>
      <c r="G117" s="27"/>
      <c r="H117" s="27"/>
      <c r="I117" s="27"/>
      <c r="J117" s="27"/>
      <c r="K117" s="27"/>
    </row>
    <row r="118" spans="6:11" ht="13.5">
      <c r="F118" s="27"/>
      <c r="G118" s="27"/>
      <c r="H118" s="27"/>
      <c r="I118" s="27"/>
      <c r="J118" s="27"/>
      <c r="K118" s="27"/>
    </row>
    <row r="119" spans="6:11" ht="13.5">
      <c r="F119" s="27"/>
      <c r="G119" s="27"/>
      <c r="H119" s="27"/>
      <c r="I119" s="27"/>
      <c r="J119" s="27"/>
      <c r="K119" s="27"/>
    </row>
    <row r="120" spans="6:11" ht="13.5">
      <c r="F120" s="27"/>
      <c r="G120" s="27"/>
      <c r="H120" s="27"/>
      <c r="I120" s="27"/>
      <c r="J120" s="27"/>
      <c r="K120" s="27"/>
    </row>
    <row r="121" spans="6:11" ht="13.5">
      <c r="F121" s="27"/>
      <c r="G121" s="27"/>
      <c r="H121" s="27"/>
      <c r="I121" s="27"/>
      <c r="J121" s="27"/>
      <c r="K121" s="27"/>
    </row>
    <row r="122" spans="6:11" ht="13.5">
      <c r="F122" s="27"/>
      <c r="G122" s="27"/>
      <c r="H122" s="27"/>
      <c r="I122" s="27"/>
      <c r="J122" s="27"/>
      <c r="K122" s="27"/>
    </row>
    <row r="123" spans="6:11" ht="13.5">
      <c r="F123" s="27"/>
      <c r="G123" s="27"/>
      <c r="H123" s="27"/>
      <c r="I123" s="27"/>
      <c r="J123" s="27"/>
      <c r="K123" s="27"/>
    </row>
    <row r="124" spans="6:11" ht="13.5">
      <c r="F124" s="27"/>
      <c r="G124" s="27"/>
      <c r="H124" s="27"/>
      <c r="I124" s="27"/>
      <c r="J124" s="27"/>
      <c r="K124" s="27"/>
    </row>
    <row r="125" spans="6:11" ht="13.5">
      <c r="F125" s="27"/>
      <c r="G125" s="27"/>
      <c r="H125" s="27"/>
      <c r="I125" s="27"/>
      <c r="J125" s="27"/>
      <c r="K125" s="27"/>
    </row>
    <row r="126" spans="6:11" ht="13.5">
      <c r="F126" s="27"/>
      <c r="G126" s="27"/>
      <c r="H126" s="27"/>
      <c r="I126" s="27"/>
      <c r="J126" s="27"/>
      <c r="K126" s="27"/>
    </row>
    <row r="127" spans="6:11" ht="13.5">
      <c r="F127" s="27"/>
      <c r="G127" s="27"/>
      <c r="H127" s="27"/>
      <c r="I127" s="27"/>
      <c r="J127" s="27"/>
      <c r="K127" s="27"/>
    </row>
    <row r="128" spans="6:11" ht="13.5">
      <c r="F128" s="27"/>
      <c r="G128" s="27"/>
      <c r="H128" s="27"/>
      <c r="I128" s="27"/>
      <c r="J128" s="27"/>
      <c r="K128" s="27"/>
    </row>
    <row r="129" spans="6:11" ht="13.5">
      <c r="F129" s="27"/>
      <c r="G129" s="27"/>
      <c r="H129" s="27"/>
      <c r="I129" s="27"/>
      <c r="J129" s="27"/>
      <c r="K129" s="27"/>
    </row>
    <row r="130" spans="6:11" ht="13.5">
      <c r="F130" s="27"/>
      <c r="G130" s="27"/>
      <c r="H130" s="27"/>
      <c r="I130" s="27"/>
      <c r="J130" s="27"/>
      <c r="K130" s="27"/>
    </row>
    <row r="131" spans="6:11" ht="13.5">
      <c r="F131" s="27"/>
      <c r="G131" s="27"/>
      <c r="H131" s="27"/>
      <c r="I131" s="27"/>
      <c r="J131" s="27"/>
      <c r="K131" s="27"/>
    </row>
    <row r="132" spans="6:11" ht="13.5">
      <c r="F132" s="27"/>
      <c r="G132" s="27"/>
      <c r="H132" s="27"/>
      <c r="I132" s="27"/>
      <c r="J132" s="27"/>
      <c r="K132" s="27"/>
    </row>
    <row r="133" spans="6:11" ht="13.5">
      <c r="F133" s="27"/>
      <c r="G133" s="27"/>
      <c r="H133" s="27"/>
      <c r="I133" s="27"/>
      <c r="J133" s="27"/>
      <c r="K133" s="27"/>
    </row>
    <row r="134" spans="6:11" ht="13.5">
      <c r="F134" s="27"/>
      <c r="G134" s="27"/>
      <c r="H134" s="27"/>
      <c r="I134" s="27"/>
      <c r="J134" s="27"/>
      <c r="K134" s="27"/>
    </row>
    <row r="135" spans="6:11" ht="13.5">
      <c r="F135" s="27"/>
      <c r="G135" s="27"/>
      <c r="H135" s="27"/>
      <c r="I135" s="27"/>
      <c r="J135" s="27"/>
      <c r="K135" s="27"/>
    </row>
    <row r="136" spans="6:11" ht="13.5">
      <c r="F136" s="27"/>
      <c r="G136" s="27"/>
      <c r="H136" s="27"/>
      <c r="I136" s="27"/>
      <c r="J136" s="27"/>
      <c r="K136" s="27"/>
    </row>
    <row r="137" spans="6:11" ht="13.5">
      <c r="F137" s="27"/>
      <c r="G137" s="27"/>
      <c r="H137" s="27"/>
      <c r="I137" s="27"/>
      <c r="J137" s="27"/>
      <c r="K137" s="27"/>
    </row>
    <row r="138" spans="6:11" ht="13.5">
      <c r="F138" s="27"/>
      <c r="G138" s="27"/>
      <c r="H138" s="27"/>
      <c r="I138" s="27"/>
      <c r="J138" s="27"/>
      <c r="K138" s="27"/>
    </row>
    <row r="139" spans="6:11" ht="13.5">
      <c r="F139" s="27"/>
      <c r="G139" s="27"/>
      <c r="H139" s="27"/>
      <c r="I139" s="27"/>
      <c r="J139" s="27"/>
      <c r="K139" s="27"/>
    </row>
    <row r="140" spans="6:11" ht="13.5">
      <c r="F140" s="27"/>
      <c r="G140" s="27"/>
      <c r="H140" s="27"/>
      <c r="I140" s="27"/>
      <c r="J140" s="27"/>
      <c r="K140" s="27"/>
    </row>
    <row r="141" spans="6:11" ht="13.5">
      <c r="F141" s="27"/>
      <c r="G141" s="27"/>
      <c r="H141" s="27"/>
      <c r="I141" s="27"/>
      <c r="J141" s="27"/>
      <c r="K141" s="27"/>
    </row>
    <row r="142" spans="6:11" ht="13.5">
      <c r="F142" s="27"/>
      <c r="G142" s="27"/>
      <c r="H142" s="27"/>
      <c r="I142" s="27"/>
      <c r="J142" s="27"/>
      <c r="K142" s="27"/>
    </row>
    <row r="143" spans="6:11" ht="13.5">
      <c r="F143" s="27"/>
      <c r="G143" s="27"/>
      <c r="H143" s="27"/>
      <c r="I143" s="27"/>
      <c r="J143" s="27"/>
      <c r="K143" s="27"/>
    </row>
    <row r="144" spans="6:11" ht="13.5">
      <c r="F144" s="27"/>
      <c r="G144" s="27"/>
      <c r="H144" s="27"/>
      <c r="I144" s="27"/>
      <c r="J144" s="27"/>
      <c r="K144" s="27"/>
    </row>
    <row r="145" spans="6:11" ht="13.5">
      <c r="F145" s="27"/>
      <c r="G145" s="27"/>
      <c r="H145" s="27"/>
      <c r="I145" s="27"/>
      <c r="J145" s="27"/>
      <c r="K145" s="27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 Sakai</dc:creator>
  <cp:keywords/>
  <dc:description/>
  <cp:lastModifiedBy>Masaru Sakai</cp:lastModifiedBy>
  <dcterms:created xsi:type="dcterms:W3CDTF">2005-05-24T14:37:17Z</dcterms:created>
  <dcterms:modified xsi:type="dcterms:W3CDTF">2006-07-04T02:52:30Z</dcterms:modified>
  <cp:category/>
  <cp:version/>
  <cp:contentType/>
  <cp:contentStatus/>
</cp:coreProperties>
</file>