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75" windowHeight="8130" tabRatio="859" activeTab="0"/>
  </bookViews>
  <sheets>
    <sheet name="readme" sheetId="1" r:id="rId1"/>
    <sheet name="van Genuchten model" sheetId="2" r:id="rId2"/>
    <sheet name="delta theta = 0.01" sheetId="3" r:id="rId3"/>
    <sheet name="delta theta = 0.05" sheetId="4" r:id="rId4"/>
    <sheet name="delta theta =0.1" sheetId="5" r:id="rId5"/>
    <sheet name="Millington &amp; Quirk" sheetId="6" r:id="rId6"/>
    <sheet name="tortuosity by fitting" sheetId="7" r:id="rId7"/>
  </sheets>
  <definedNames/>
  <calcPr fullCalcOnLoad="1"/>
</workbook>
</file>

<file path=xl/sharedStrings.xml><?xml version="1.0" encoding="utf-8"?>
<sst xmlns="http://schemas.openxmlformats.org/spreadsheetml/2006/main" count="356" uniqueCount="174">
  <si>
    <t>n</t>
  </si>
  <si>
    <t>l</t>
  </si>
  <si>
    <r>
      <t>q</t>
    </r>
    <r>
      <rPr>
        <i/>
        <vertAlign val="subscript"/>
        <sz val="11"/>
        <rFont val="ＭＳ Ｐゴシック"/>
        <family val="3"/>
      </rPr>
      <t>r</t>
    </r>
  </si>
  <si>
    <r>
      <t>q</t>
    </r>
    <r>
      <rPr>
        <i/>
        <vertAlign val="subscript"/>
        <sz val="11"/>
        <rFont val="Times New Roman"/>
        <family val="1"/>
      </rPr>
      <t>s</t>
    </r>
  </si>
  <si>
    <t>a</t>
  </si>
  <si>
    <r>
      <t>K</t>
    </r>
    <r>
      <rPr>
        <i/>
        <vertAlign val="subscript"/>
        <sz val="11"/>
        <rFont val="Times New Roman"/>
        <family val="1"/>
      </rPr>
      <t xml:space="preserve">s </t>
    </r>
    <r>
      <rPr>
        <sz val="11"/>
        <rFont val="Times New Roman"/>
        <family val="1"/>
      </rPr>
      <t>(cm/day)</t>
    </r>
  </si>
  <si>
    <r>
      <t>|</t>
    </r>
    <r>
      <rPr>
        <i/>
        <sz val="11"/>
        <rFont val="Times New Roman"/>
        <family val="1"/>
      </rPr>
      <t>h</t>
    </r>
    <r>
      <rPr>
        <sz val="11"/>
        <rFont val="Times New Roman"/>
        <family val="1"/>
      </rPr>
      <t>| (cm)</t>
    </r>
  </si>
  <si>
    <r>
      <t>S</t>
    </r>
    <r>
      <rPr>
        <i/>
        <vertAlign val="subscript"/>
        <sz val="11"/>
        <rFont val="Times New Roman"/>
        <family val="1"/>
      </rPr>
      <t>e</t>
    </r>
  </si>
  <si>
    <t>q</t>
  </si>
  <si>
    <r>
      <t>K</t>
    </r>
    <r>
      <rPr>
        <i/>
        <vertAlign val="subscript"/>
        <sz val="11"/>
        <rFont val="Times New Roman"/>
        <family val="1"/>
      </rPr>
      <t xml:space="preserve"> </t>
    </r>
    <r>
      <rPr>
        <sz val="11"/>
        <rFont val="Times New Roman"/>
        <family val="1"/>
      </rPr>
      <t>(cm/day)</t>
    </r>
  </si>
  <si>
    <t>s</t>
  </si>
  <si>
    <t>n</t>
  </si>
  <si>
    <r>
      <t>r</t>
    </r>
    <r>
      <rPr>
        <i/>
        <vertAlign val="subscript"/>
        <sz val="11"/>
        <rFont val="Times New Roman"/>
        <family val="1"/>
      </rPr>
      <t>w</t>
    </r>
  </si>
  <si>
    <t>g</t>
  </si>
  <si>
    <r>
      <t>Jm</t>
    </r>
    <r>
      <rPr>
        <vertAlign val="superscript"/>
        <sz val="11"/>
        <rFont val="Times New Roman"/>
        <family val="1"/>
      </rPr>
      <t>-2</t>
    </r>
  </si>
  <si>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</si>
  <si>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-3</t>
    </r>
  </si>
  <si>
    <r>
      <t>ms</t>
    </r>
    <r>
      <rPr>
        <vertAlign val="superscript"/>
        <sz val="11"/>
        <rFont val="Times New Roman"/>
        <family val="1"/>
      </rPr>
      <t>-2</t>
    </r>
  </si>
  <si>
    <r>
      <t>gs</t>
    </r>
    <r>
      <rPr>
        <vertAlign val="superscript"/>
        <sz val="11"/>
        <rFont val="Times New Roman"/>
        <family val="1"/>
      </rPr>
      <t>-2</t>
    </r>
  </si>
  <si>
    <r>
      <t>gcm</t>
    </r>
    <r>
      <rPr>
        <vertAlign val="superscript"/>
        <sz val="11"/>
        <rFont val="Times New Roman"/>
        <family val="1"/>
      </rPr>
      <t>-1</t>
    </r>
    <r>
      <rPr>
        <sz val="11"/>
        <rFont val="Times New Roman"/>
        <family val="1"/>
      </rPr>
      <t>s</t>
    </r>
    <r>
      <rPr>
        <vertAlign val="superscript"/>
        <sz val="11"/>
        <rFont val="Times New Roman"/>
        <family val="1"/>
      </rPr>
      <t>-1</t>
    </r>
  </si>
  <si>
    <r>
      <t>cms</t>
    </r>
    <r>
      <rPr>
        <vertAlign val="superscript"/>
        <sz val="11"/>
        <rFont val="Times New Roman"/>
        <family val="1"/>
      </rPr>
      <t>-2</t>
    </r>
  </si>
  <si>
    <t>t</t>
  </si>
  <si>
    <t>Dq</t>
  </si>
  <si>
    <t>J</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</si>
  <si>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</si>
  <si>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</si>
  <si>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r>
      <t>q</t>
    </r>
    <r>
      <rPr>
        <i/>
        <vertAlign val="subscript"/>
        <sz val="11"/>
        <rFont val="Times New Roman"/>
        <family val="1"/>
      </rPr>
      <t>s</t>
    </r>
    <r>
      <rPr>
        <i/>
        <sz val="11"/>
        <rFont val="Symbol"/>
        <family val="1"/>
      </rPr>
      <t>-3Dq</t>
    </r>
  </si>
  <si>
    <r>
      <t>q</t>
    </r>
    <r>
      <rPr>
        <i/>
        <vertAlign val="subscript"/>
        <sz val="11"/>
        <rFont val="Times New Roman"/>
        <family val="1"/>
      </rPr>
      <t>s</t>
    </r>
    <r>
      <rPr>
        <i/>
        <sz val="11"/>
        <rFont val="Symbol"/>
        <family val="1"/>
      </rPr>
      <t>-4Dq</t>
    </r>
  </si>
  <si>
    <r>
      <t>q</t>
    </r>
    <r>
      <rPr>
        <i/>
        <vertAlign val="subscript"/>
        <sz val="11"/>
        <rFont val="Times New Roman"/>
        <family val="1"/>
      </rPr>
      <t>s</t>
    </r>
    <r>
      <rPr>
        <i/>
        <sz val="11"/>
        <rFont val="Symbol"/>
        <family val="1"/>
      </rPr>
      <t>-5Dq</t>
    </r>
  </si>
  <si>
    <r>
      <t>q</t>
    </r>
    <r>
      <rPr>
        <i/>
        <vertAlign val="subscript"/>
        <sz val="11"/>
        <rFont val="Times New Roman"/>
        <family val="1"/>
      </rPr>
      <t>s</t>
    </r>
    <r>
      <rPr>
        <i/>
        <sz val="11"/>
        <rFont val="Symbol"/>
        <family val="1"/>
      </rPr>
      <t>-6Dq</t>
    </r>
  </si>
  <si>
    <r>
      <t>q</t>
    </r>
    <r>
      <rPr>
        <i/>
        <vertAlign val="subscript"/>
        <sz val="11"/>
        <rFont val="Times New Roman"/>
        <family val="1"/>
      </rPr>
      <t>s</t>
    </r>
    <r>
      <rPr>
        <i/>
        <sz val="11"/>
        <rFont val="Symbol"/>
        <family val="1"/>
      </rPr>
      <t>-7Dq</t>
    </r>
  </si>
  <si>
    <r>
      <t>q</t>
    </r>
    <r>
      <rPr>
        <i/>
        <vertAlign val="subscript"/>
        <sz val="11"/>
        <rFont val="Times New Roman"/>
        <family val="1"/>
      </rPr>
      <t>s</t>
    </r>
    <r>
      <rPr>
        <i/>
        <sz val="11"/>
        <rFont val="Symbol"/>
        <family val="1"/>
      </rPr>
      <t>-8Dq</t>
    </r>
  </si>
  <si>
    <r>
      <t>q</t>
    </r>
    <r>
      <rPr>
        <i/>
        <vertAlign val="subscript"/>
        <sz val="11"/>
        <rFont val="Times New Roman"/>
        <family val="1"/>
      </rPr>
      <t>s</t>
    </r>
    <r>
      <rPr>
        <i/>
        <sz val="11"/>
        <rFont val="Symbol"/>
        <family val="1"/>
      </rPr>
      <t>-9Dq</t>
    </r>
  </si>
  <si>
    <r>
      <t>q</t>
    </r>
    <r>
      <rPr>
        <i/>
        <vertAlign val="subscript"/>
        <sz val="11"/>
        <rFont val="Times New Roman"/>
        <family val="1"/>
      </rPr>
      <t>s</t>
    </r>
    <r>
      <rPr>
        <i/>
        <sz val="11"/>
        <rFont val="Symbol"/>
        <family val="1"/>
      </rPr>
      <t>-10Dq</t>
    </r>
  </si>
  <si>
    <r>
      <t>q</t>
    </r>
    <r>
      <rPr>
        <i/>
        <vertAlign val="subscript"/>
        <sz val="11"/>
        <rFont val="Times New Roman"/>
        <family val="1"/>
      </rPr>
      <t>s</t>
    </r>
    <r>
      <rPr>
        <i/>
        <sz val="11"/>
        <rFont val="Symbol"/>
        <family val="1"/>
      </rPr>
      <t>-11Dq</t>
    </r>
  </si>
  <si>
    <t>K</t>
  </si>
  <si>
    <r>
      <t>n</t>
    </r>
    <r>
      <rPr>
        <i/>
        <vertAlign val="subscript"/>
        <sz val="11"/>
        <rFont val="Times New Roman"/>
        <family val="1"/>
      </rPr>
      <t>J</t>
    </r>
  </si>
  <si>
    <r>
      <t>R</t>
    </r>
    <r>
      <rPr>
        <i/>
        <vertAlign val="subscript"/>
        <sz val="11"/>
        <rFont val="Times New Roman"/>
        <family val="1"/>
      </rPr>
      <t>J</t>
    </r>
  </si>
  <si>
    <r>
      <t>|h</t>
    </r>
    <r>
      <rPr>
        <i/>
        <vertAlign val="subscript"/>
        <sz val="11"/>
        <rFont val="Times New Roman"/>
        <family val="1"/>
      </rPr>
      <t>J</t>
    </r>
    <r>
      <rPr>
        <i/>
        <sz val="11"/>
        <rFont val="Times New Roman"/>
        <family val="1"/>
      </rPr>
      <t>|</t>
    </r>
  </si>
  <si>
    <r>
      <t>1/h</t>
    </r>
    <r>
      <rPr>
        <i/>
        <vertAlign val="subscript"/>
        <sz val="11"/>
        <rFont val="Times New Roman"/>
        <family val="1"/>
      </rPr>
      <t>J</t>
    </r>
    <r>
      <rPr>
        <i/>
        <vertAlign val="superscript"/>
        <sz val="11"/>
        <rFont val="Times New Roman"/>
        <family val="1"/>
      </rPr>
      <t>2</t>
    </r>
  </si>
  <si>
    <r>
      <t>q</t>
    </r>
    <r>
      <rPr>
        <i/>
        <vertAlign val="subscript"/>
        <sz val="11"/>
        <rFont val="Times New Roman"/>
        <family val="1"/>
      </rPr>
      <t>s</t>
    </r>
    <r>
      <rPr>
        <i/>
        <sz val="11"/>
        <rFont val="Symbol"/>
        <family val="1"/>
      </rPr>
      <t>-3Dq</t>
    </r>
  </si>
  <si>
    <r>
      <t>q</t>
    </r>
    <r>
      <rPr>
        <i/>
        <vertAlign val="subscript"/>
        <sz val="11"/>
        <rFont val="Times New Roman"/>
        <family val="1"/>
      </rPr>
      <t>s</t>
    </r>
    <r>
      <rPr>
        <i/>
        <sz val="11"/>
        <rFont val="Symbol"/>
        <family val="1"/>
      </rPr>
      <t>-4Dq</t>
    </r>
  </si>
  <si>
    <r>
      <t>q</t>
    </r>
    <r>
      <rPr>
        <i/>
        <vertAlign val="subscript"/>
        <sz val="11"/>
        <rFont val="Times New Roman"/>
        <family val="1"/>
      </rPr>
      <t>s</t>
    </r>
    <r>
      <rPr>
        <i/>
        <sz val="11"/>
        <rFont val="Symbol"/>
        <family val="1"/>
      </rPr>
      <t>-5Dq</t>
    </r>
  </si>
  <si>
    <t>t</t>
  </si>
  <si>
    <r>
      <t>q</t>
    </r>
    <r>
      <rPr>
        <i/>
        <vertAlign val="subscript"/>
        <sz val="11"/>
        <rFont val="Times New Roman"/>
        <family val="1"/>
      </rPr>
      <t>s</t>
    </r>
    <r>
      <rPr>
        <i/>
        <sz val="11"/>
        <rFont val="Symbol"/>
        <family val="1"/>
      </rPr>
      <t>-6Dq</t>
    </r>
  </si>
  <si>
    <r>
      <t>q</t>
    </r>
    <r>
      <rPr>
        <i/>
        <vertAlign val="subscript"/>
        <sz val="11"/>
        <rFont val="Times New Roman"/>
        <family val="1"/>
      </rPr>
      <t>s</t>
    </r>
    <r>
      <rPr>
        <i/>
        <sz val="11"/>
        <rFont val="Symbol"/>
        <family val="1"/>
      </rPr>
      <t>-7Dq</t>
    </r>
  </si>
  <si>
    <r>
      <t>q</t>
    </r>
    <r>
      <rPr>
        <i/>
        <vertAlign val="subscript"/>
        <sz val="11"/>
        <rFont val="Times New Roman"/>
        <family val="1"/>
      </rPr>
      <t>s</t>
    </r>
    <r>
      <rPr>
        <i/>
        <sz val="11"/>
        <rFont val="Symbol"/>
        <family val="1"/>
      </rPr>
      <t>-8Dq</t>
    </r>
  </si>
  <si>
    <r>
      <t>q</t>
    </r>
    <r>
      <rPr>
        <i/>
        <vertAlign val="subscript"/>
        <sz val="11"/>
        <rFont val="Times New Roman"/>
        <family val="1"/>
      </rPr>
      <t>s</t>
    </r>
    <r>
      <rPr>
        <i/>
        <sz val="11"/>
        <rFont val="Symbol"/>
        <family val="1"/>
      </rPr>
      <t>-9Dq</t>
    </r>
  </si>
  <si>
    <r>
      <t>q</t>
    </r>
    <r>
      <rPr>
        <i/>
        <vertAlign val="subscript"/>
        <sz val="11"/>
        <rFont val="Times New Roman"/>
        <family val="1"/>
      </rPr>
      <t>s</t>
    </r>
    <r>
      <rPr>
        <i/>
        <sz val="11"/>
        <rFont val="Symbol"/>
        <family val="1"/>
      </rPr>
      <t>-10Dq</t>
    </r>
  </si>
  <si>
    <r>
      <t>q</t>
    </r>
    <r>
      <rPr>
        <i/>
        <vertAlign val="subscript"/>
        <sz val="11"/>
        <rFont val="Times New Roman"/>
        <family val="1"/>
      </rPr>
      <t>s</t>
    </r>
    <r>
      <rPr>
        <i/>
        <sz val="11"/>
        <rFont val="Symbol"/>
        <family val="1"/>
      </rPr>
      <t>-11Dq</t>
    </r>
  </si>
  <si>
    <r>
      <t>q</t>
    </r>
    <r>
      <rPr>
        <i/>
        <vertAlign val="subscript"/>
        <sz val="11"/>
        <rFont val="ＭＳ Ｐゴシック"/>
        <family val="3"/>
      </rPr>
      <t>r</t>
    </r>
  </si>
  <si>
    <r>
      <t>q</t>
    </r>
    <r>
      <rPr>
        <i/>
        <vertAlign val="subscript"/>
        <sz val="11"/>
        <rFont val="Times New Roman"/>
        <family val="1"/>
      </rPr>
      <t>s</t>
    </r>
  </si>
  <si>
    <t>a</t>
  </si>
  <si>
    <t>s</t>
  </si>
  <si>
    <r>
      <t>Jm</t>
    </r>
    <r>
      <rPr>
        <vertAlign val="superscript"/>
        <sz val="11"/>
        <rFont val="Times New Roman"/>
        <family val="1"/>
      </rPr>
      <t>-2</t>
    </r>
  </si>
  <si>
    <r>
      <t>gs</t>
    </r>
    <r>
      <rPr>
        <vertAlign val="superscript"/>
        <sz val="11"/>
        <rFont val="Times New Roman"/>
        <family val="1"/>
      </rPr>
      <t>-2</t>
    </r>
  </si>
  <si>
    <t>n</t>
  </si>
  <si>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</si>
  <si>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-1</t>
    </r>
    <r>
      <rPr>
        <sz val="11"/>
        <rFont val="Times New Roman"/>
        <family val="1"/>
      </rPr>
      <t>s</t>
    </r>
    <r>
      <rPr>
        <vertAlign val="superscript"/>
        <sz val="11"/>
        <rFont val="Times New Roman"/>
        <family val="1"/>
      </rPr>
      <t>-1</t>
    </r>
  </si>
  <si>
    <r>
      <t>r</t>
    </r>
    <r>
      <rPr>
        <i/>
        <vertAlign val="subscript"/>
        <sz val="11"/>
        <rFont val="Times New Roman"/>
        <family val="1"/>
      </rPr>
      <t>w</t>
    </r>
  </si>
  <si>
    <r>
      <t>gcm</t>
    </r>
    <r>
      <rPr>
        <vertAlign val="superscript"/>
        <sz val="11"/>
        <rFont val="Times New Roman"/>
        <family val="1"/>
      </rPr>
      <t>-3</t>
    </r>
  </si>
  <si>
    <r>
      <t>K</t>
    </r>
    <r>
      <rPr>
        <i/>
        <vertAlign val="subscript"/>
        <sz val="11"/>
        <rFont val="Times New Roman"/>
        <family val="1"/>
      </rPr>
      <t xml:space="preserve">s </t>
    </r>
    <r>
      <rPr>
        <sz val="11"/>
        <rFont val="Times New Roman"/>
        <family val="1"/>
      </rPr>
      <t>(cm/day)</t>
    </r>
  </si>
  <si>
    <t>g</t>
  </si>
  <si>
    <r>
      <t>ms</t>
    </r>
    <r>
      <rPr>
        <vertAlign val="superscript"/>
        <sz val="11"/>
        <rFont val="Times New Roman"/>
        <family val="1"/>
      </rPr>
      <t>-2</t>
    </r>
  </si>
  <si>
    <r>
      <t>cms</t>
    </r>
    <r>
      <rPr>
        <vertAlign val="superscript"/>
        <sz val="11"/>
        <rFont val="Times New Roman"/>
        <family val="1"/>
      </rPr>
      <t>-2</t>
    </r>
  </si>
  <si>
    <t>t</t>
  </si>
  <si>
    <t>Dq</t>
  </si>
  <si>
    <t>J</t>
  </si>
  <si>
    <t>q</t>
  </si>
  <si>
    <r>
      <t>|h</t>
    </r>
    <r>
      <rPr>
        <i/>
        <vertAlign val="subscript"/>
        <sz val="11"/>
        <rFont val="Times New Roman"/>
        <family val="1"/>
      </rPr>
      <t>J</t>
    </r>
    <r>
      <rPr>
        <i/>
        <sz val="11"/>
        <rFont val="Times New Roman"/>
        <family val="1"/>
      </rPr>
      <t>|</t>
    </r>
  </si>
  <si>
    <r>
      <t>R</t>
    </r>
    <r>
      <rPr>
        <i/>
        <vertAlign val="subscript"/>
        <sz val="11"/>
        <rFont val="Times New Roman"/>
        <family val="1"/>
      </rPr>
      <t>J</t>
    </r>
  </si>
  <si>
    <r>
      <t>n</t>
    </r>
    <r>
      <rPr>
        <i/>
        <vertAlign val="subscript"/>
        <sz val="11"/>
        <rFont val="Times New Roman"/>
        <family val="1"/>
      </rPr>
      <t>J</t>
    </r>
  </si>
  <si>
    <r>
      <t>1/h</t>
    </r>
    <r>
      <rPr>
        <i/>
        <vertAlign val="subscript"/>
        <sz val="11"/>
        <rFont val="Times New Roman"/>
        <family val="1"/>
      </rPr>
      <t>J</t>
    </r>
    <r>
      <rPr>
        <i/>
        <vertAlign val="superscript"/>
        <sz val="11"/>
        <rFont val="Times New Roman"/>
        <family val="1"/>
      </rPr>
      <t>2</t>
    </r>
  </si>
  <si>
    <t>K</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</si>
  <si>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</si>
  <si>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</si>
  <si>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t>Capillary tube model</t>
  </si>
  <si>
    <t>s</t>
  </si>
  <si>
    <r>
      <t>q</t>
    </r>
    <r>
      <rPr>
        <i/>
        <vertAlign val="subscript"/>
        <sz val="11"/>
        <rFont val="Times New Roman"/>
        <family val="1"/>
      </rPr>
      <t>s</t>
    </r>
    <r>
      <rPr>
        <i/>
        <sz val="11"/>
        <rFont val="Symbol"/>
        <family val="1"/>
      </rPr>
      <t>-12Dq</t>
    </r>
  </si>
  <si>
    <r>
      <t>q</t>
    </r>
    <r>
      <rPr>
        <i/>
        <vertAlign val="subscript"/>
        <sz val="11"/>
        <rFont val="Times New Roman"/>
        <family val="1"/>
      </rPr>
      <t>s</t>
    </r>
    <r>
      <rPr>
        <i/>
        <sz val="11"/>
        <rFont val="Symbol"/>
        <family val="1"/>
      </rPr>
      <t>-13Dq</t>
    </r>
  </si>
  <si>
    <r>
      <t>q</t>
    </r>
    <r>
      <rPr>
        <i/>
        <vertAlign val="subscript"/>
        <sz val="11"/>
        <rFont val="Times New Roman"/>
        <family val="1"/>
      </rPr>
      <t>s</t>
    </r>
    <r>
      <rPr>
        <i/>
        <sz val="11"/>
        <rFont val="Symbol"/>
        <family val="1"/>
      </rPr>
      <t>-14Dq</t>
    </r>
  </si>
  <si>
    <r>
      <t>q</t>
    </r>
    <r>
      <rPr>
        <i/>
        <vertAlign val="subscript"/>
        <sz val="11"/>
        <rFont val="Times New Roman"/>
        <family val="1"/>
      </rPr>
      <t>s</t>
    </r>
    <r>
      <rPr>
        <i/>
        <sz val="11"/>
        <rFont val="Symbol"/>
        <family val="1"/>
      </rPr>
      <t>-15Dq</t>
    </r>
  </si>
  <si>
    <r>
      <t>q</t>
    </r>
    <r>
      <rPr>
        <i/>
        <vertAlign val="subscript"/>
        <sz val="11"/>
        <rFont val="Times New Roman"/>
        <family val="1"/>
      </rPr>
      <t>s</t>
    </r>
    <r>
      <rPr>
        <i/>
        <sz val="11"/>
        <rFont val="Symbol"/>
        <family val="1"/>
      </rPr>
      <t>-16Dq</t>
    </r>
  </si>
  <si>
    <r>
      <t>q</t>
    </r>
    <r>
      <rPr>
        <i/>
        <vertAlign val="subscript"/>
        <sz val="11"/>
        <rFont val="Times New Roman"/>
        <family val="1"/>
      </rPr>
      <t>s</t>
    </r>
    <r>
      <rPr>
        <i/>
        <sz val="11"/>
        <rFont val="Symbol"/>
        <family val="1"/>
      </rPr>
      <t>-17Dq</t>
    </r>
  </si>
  <si>
    <r>
      <t>q</t>
    </r>
    <r>
      <rPr>
        <i/>
        <vertAlign val="subscript"/>
        <sz val="11"/>
        <rFont val="Times New Roman"/>
        <family val="1"/>
      </rPr>
      <t>s</t>
    </r>
    <r>
      <rPr>
        <i/>
        <sz val="11"/>
        <rFont val="Symbol"/>
        <family val="1"/>
      </rPr>
      <t>-18Dq</t>
    </r>
  </si>
  <si>
    <r>
      <t>q</t>
    </r>
    <r>
      <rPr>
        <i/>
        <vertAlign val="subscript"/>
        <sz val="11"/>
        <rFont val="Times New Roman"/>
        <family val="1"/>
      </rPr>
      <t>s</t>
    </r>
    <r>
      <rPr>
        <i/>
        <sz val="11"/>
        <rFont val="Symbol"/>
        <family val="1"/>
      </rPr>
      <t>-19Dq</t>
    </r>
  </si>
  <si>
    <r>
      <t>q</t>
    </r>
    <r>
      <rPr>
        <i/>
        <vertAlign val="subscript"/>
        <sz val="11"/>
        <rFont val="Times New Roman"/>
        <family val="1"/>
      </rPr>
      <t>s</t>
    </r>
    <r>
      <rPr>
        <i/>
        <sz val="11"/>
        <rFont val="Symbol"/>
        <family val="1"/>
      </rPr>
      <t>-20Dq</t>
    </r>
  </si>
  <si>
    <r>
      <t>q</t>
    </r>
    <r>
      <rPr>
        <i/>
        <vertAlign val="subscript"/>
        <sz val="11"/>
        <rFont val="Times New Roman"/>
        <family val="1"/>
      </rPr>
      <t>s</t>
    </r>
    <r>
      <rPr>
        <i/>
        <sz val="11"/>
        <rFont val="Symbol"/>
        <family val="1"/>
      </rPr>
      <t>-21Dq</t>
    </r>
  </si>
  <si>
    <r>
      <t>q</t>
    </r>
    <r>
      <rPr>
        <i/>
        <vertAlign val="subscript"/>
        <sz val="11"/>
        <rFont val="Times New Roman"/>
        <family val="1"/>
      </rPr>
      <t>s</t>
    </r>
    <r>
      <rPr>
        <i/>
        <sz val="11"/>
        <rFont val="Symbol"/>
        <family val="1"/>
      </rPr>
      <t>-22Dq</t>
    </r>
  </si>
  <si>
    <r>
      <t>q</t>
    </r>
    <r>
      <rPr>
        <i/>
        <vertAlign val="subscript"/>
        <sz val="11"/>
        <rFont val="Times New Roman"/>
        <family val="1"/>
      </rPr>
      <t>s</t>
    </r>
    <r>
      <rPr>
        <i/>
        <sz val="11"/>
        <rFont val="Symbol"/>
        <family val="1"/>
      </rPr>
      <t>-23Dq</t>
    </r>
  </si>
  <si>
    <r>
      <t>q</t>
    </r>
    <r>
      <rPr>
        <i/>
        <vertAlign val="subscript"/>
        <sz val="11"/>
        <rFont val="Times New Roman"/>
        <family val="1"/>
      </rPr>
      <t>s</t>
    </r>
    <r>
      <rPr>
        <i/>
        <sz val="11"/>
        <rFont val="Symbol"/>
        <family val="1"/>
      </rPr>
      <t>-24Dq</t>
    </r>
  </si>
  <si>
    <r>
      <t>q</t>
    </r>
    <r>
      <rPr>
        <i/>
        <vertAlign val="subscript"/>
        <sz val="11"/>
        <rFont val="Times New Roman"/>
        <family val="1"/>
      </rPr>
      <t>s</t>
    </r>
    <r>
      <rPr>
        <i/>
        <sz val="11"/>
        <rFont val="Symbol"/>
        <family val="1"/>
      </rPr>
      <t>-25Dq</t>
    </r>
  </si>
  <si>
    <r>
      <t>q</t>
    </r>
    <r>
      <rPr>
        <i/>
        <vertAlign val="subscript"/>
        <sz val="11"/>
        <rFont val="Times New Roman"/>
        <family val="1"/>
      </rPr>
      <t>s</t>
    </r>
    <r>
      <rPr>
        <i/>
        <sz val="11"/>
        <rFont val="Symbol"/>
        <family val="1"/>
      </rPr>
      <t>-26Dq</t>
    </r>
  </si>
  <si>
    <r>
      <t>q</t>
    </r>
    <r>
      <rPr>
        <i/>
        <vertAlign val="subscript"/>
        <sz val="11"/>
        <rFont val="Times New Roman"/>
        <family val="1"/>
      </rPr>
      <t>s</t>
    </r>
    <r>
      <rPr>
        <i/>
        <sz val="11"/>
        <rFont val="Symbol"/>
        <family val="1"/>
      </rPr>
      <t>-27Dq</t>
    </r>
  </si>
  <si>
    <r>
      <t>q</t>
    </r>
    <r>
      <rPr>
        <i/>
        <vertAlign val="subscript"/>
        <sz val="11"/>
        <rFont val="Times New Roman"/>
        <family val="1"/>
      </rPr>
      <t>s</t>
    </r>
    <r>
      <rPr>
        <i/>
        <sz val="11"/>
        <rFont val="Symbol"/>
        <family val="1"/>
      </rPr>
      <t>-28Dq</t>
    </r>
  </si>
  <si>
    <r>
      <t>q</t>
    </r>
    <r>
      <rPr>
        <i/>
        <vertAlign val="subscript"/>
        <sz val="11"/>
        <rFont val="Times New Roman"/>
        <family val="1"/>
      </rPr>
      <t>s</t>
    </r>
    <r>
      <rPr>
        <i/>
        <sz val="11"/>
        <rFont val="Symbol"/>
        <family val="1"/>
      </rPr>
      <t>-29Dq</t>
    </r>
  </si>
  <si>
    <r>
      <t>q</t>
    </r>
    <r>
      <rPr>
        <i/>
        <vertAlign val="subscript"/>
        <sz val="11"/>
        <rFont val="Times New Roman"/>
        <family val="1"/>
      </rPr>
      <t>s</t>
    </r>
    <r>
      <rPr>
        <i/>
        <sz val="11"/>
        <rFont val="Symbol"/>
        <family val="1"/>
      </rPr>
      <t>-30Dq</t>
    </r>
  </si>
  <si>
    <r>
      <t>q</t>
    </r>
    <r>
      <rPr>
        <i/>
        <vertAlign val="subscript"/>
        <sz val="11"/>
        <rFont val="Times New Roman"/>
        <family val="1"/>
      </rPr>
      <t>s</t>
    </r>
    <r>
      <rPr>
        <i/>
        <sz val="11"/>
        <rFont val="Symbol"/>
        <family val="1"/>
      </rPr>
      <t>-31Dq</t>
    </r>
  </si>
  <si>
    <r>
      <t>q</t>
    </r>
    <r>
      <rPr>
        <i/>
        <vertAlign val="subscript"/>
        <sz val="11"/>
        <rFont val="Times New Roman"/>
        <family val="1"/>
      </rPr>
      <t>s</t>
    </r>
    <r>
      <rPr>
        <i/>
        <sz val="11"/>
        <rFont val="Symbol"/>
        <family val="1"/>
      </rPr>
      <t>-32Dq</t>
    </r>
  </si>
  <si>
    <r>
      <t>q</t>
    </r>
    <r>
      <rPr>
        <i/>
        <vertAlign val="subscript"/>
        <sz val="11"/>
        <rFont val="Times New Roman"/>
        <family val="1"/>
      </rPr>
      <t>s</t>
    </r>
    <r>
      <rPr>
        <i/>
        <sz val="11"/>
        <rFont val="Symbol"/>
        <family val="1"/>
      </rPr>
      <t>-33Dq</t>
    </r>
  </si>
  <si>
    <r>
      <t>q</t>
    </r>
    <r>
      <rPr>
        <i/>
        <vertAlign val="subscript"/>
        <sz val="11"/>
        <rFont val="Times New Roman"/>
        <family val="1"/>
      </rPr>
      <t>s</t>
    </r>
    <r>
      <rPr>
        <i/>
        <sz val="11"/>
        <rFont val="Symbol"/>
        <family val="1"/>
      </rPr>
      <t>-34Dq</t>
    </r>
  </si>
  <si>
    <r>
      <t>q</t>
    </r>
    <r>
      <rPr>
        <i/>
        <vertAlign val="subscript"/>
        <sz val="11"/>
        <rFont val="Times New Roman"/>
        <family val="1"/>
      </rPr>
      <t>s</t>
    </r>
    <r>
      <rPr>
        <i/>
        <sz val="11"/>
        <rFont val="Symbol"/>
        <family val="1"/>
      </rPr>
      <t>-35Dq</t>
    </r>
  </si>
  <si>
    <r>
      <t>q</t>
    </r>
    <r>
      <rPr>
        <i/>
        <vertAlign val="subscript"/>
        <sz val="11"/>
        <rFont val="Times New Roman"/>
        <family val="1"/>
      </rPr>
      <t>s</t>
    </r>
    <r>
      <rPr>
        <i/>
        <sz val="11"/>
        <rFont val="Symbol"/>
        <family val="1"/>
      </rPr>
      <t>-36Dq</t>
    </r>
  </si>
  <si>
    <r>
      <t>q</t>
    </r>
    <r>
      <rPr>
        <i/>
        <vertAlign val="subscript"/>
        <sz val="11"/>
        <rFont val="Times New Roman"/>
        <family val="1"/>
      </rPr>
      <t>s</t>
    </r>
    <r>
      <rPr>
        <i/>
        <sz val="11"/>
        <rFont val="Symbol"/>
        <family val="1"/>
      </rPr>
      <t>-37Dq</t>
    </r>
  </si>
  <si>
    <r>
      <t>q</t>
    </r>
    <r>
      <rPr>
        <i/>
        <vertAlign val="subscript"/>
        <sz val="11"/>
        <rFont val="Times New Roman"/>
        <family val="1"/>
      </rPr>
      <t>s</t>
    </r>
    <r>
      <rPr>
        <i/>
        <sz val="11"/>
        <rFont val="Symbol"/>
        <family val="1"/>
      </rPr>
      <t>-38Dq</t>
    </r>
  </si>
  <si>
    <r>
      <t>q</t>
    </r>
    <r>
      <rPr>
        <i/>
        <vertAlign val="subscript"/>
        <sz val="11"/>
        <rFont val="Times New Roman"/>
        <family val="1"/>
      </rPr>
      <t>s</t>
    </r>
    <r>
      <rPr>
        <i/>
        <sz val="11"/>
        <rFont val="Symbol"/>
        <family val="1"/>
      </rPr>
      <t>-39Dq</t>
    </r>
  </si>
  <si>
    <r>
      <t>q</t>
    </r>
    <r>
      <rPr>
        <i/>
        <vertAlign val="subscript"/>
        <sz val="11"/>
        <rFont val="Times New Roman"/>
        <family val="1"/>
      </rPr>
      <t>s</t>
    </r>
    <r>
      <rPr>
        <i/>
        <sz val="11"/>
        <rFont val="Symbol"/>
        <family val="1"/>
      </rPr>
      <t>-40Dq</t>
    </r>
  </si>
  <si>
    <r>
      <t>q</t>
    </r>
    <r>
      <rPr>
        <i/>
        <vertAlign val="subscript"/>
        <sz val="11"/>
        <rFont val="Times New Roman"/>
        <family val="1"/>
      </rPr>
      <t>s</t>
    </r>
    <r>
      <rPr>
        <i/>
        <sz val="11"/>
        <rFont val="Symbol"/>
        <family val="1"/>
      </rPr>
      <t>-41Dq</t>
    </r>
  </si>
  <si>
    <r>
      <t>q</t>
    </r>
    <r>
      <rPr>
        <i/>
        <vertAlign val="subscript"/>
        <sz val="11"/>
        <rFont val="Times New Roman"/>
        <family val="1"/>
      </rPr>
      <t>s</t>
    </r>
    <r>
      <rPr>
        <i/>
        <sz val="11"/>
        <rFont val="Symbol"/>
        <family val="1"/>
      </rPr>
      <t>-42Dq</t>
    </r>
  </si>
  <si>
    <r>
      <t>q</t>
    </r>
    <r>
      <rPr>
        <i/>
        <vertAlign val="subscript"/>
        <sz val="11"/>
        <rFont val="Times New Roman"/>
        <family val="1"/>
      </rPr>
      <t>s</t>
    </r>
    <r>
      <rPr>
        <i/>
        <sz val="11"/>
        <rFont val="Symbol"/>
        <family val="1"/>
      </rPr>
      <t>-43Dq</t>
    </r>
  </si>
  <si>
    <r>
      <t>q</t>
    </r>
    <r>
      <rPr>
        <i/>
        <vertAlign val="subscript"/>
        <sz val="11"/>
        <rFont val="Times New Roman"/>
        <family val="1"/>
      </rPr>
      <t>s</t>
    </r>
    <r>
      <rPr>
        <i/>
        <sz val="11"/>
        <rFont val="Symbol"/>
        <family val="1"/>
      </rPr>
      <t>-44Dq</t>
    </r>
  </si>
  <si>
    <r>
      <t>q</t>
    </r>
    <r>
      <rPr>
        <i/>
        <vertAlign val="subscript"/>
        <sz val="11"/>
        <rFont val="Times New Roman"/>
        <family val="1"/>
      </rPr>
      <t>s</t>
    </r>
    <r>
      <rPr>
        <i/>
        <sz val="11"/>
        <rFont val="Symbol"/>
        <family val="1"/>
      </rPr>
      <t>-45Dq</t>
    </r>
  </si>
  <si>
    <r>
      <t>q</t>
    </r>
    <r>
      <rPr>
        <i/>
        <vertAlign val="subscript"/>
        <sz val="11"/>
        <rFont val="Times New Roman"/>
        <family val="1"/>
      </rPr>
      <t>s</t>
    </r>
    <r>
      <rPr>
        <i/>
        <sz val="11"/>
        <rFont val="Symbol"/>
        <family val="1"/>
      </rPr>
      <t>-46Dq</t>
    </r>
  </si>
  <si>
    <r>
      <t>q</t>
    </r>
    <r>
      <rPr>
        <i/>
        <vertAlign val="subscript"/>
        <sz val="11"/>
        <rFont val="Times New Roman"/>
        <family val="1"/>
      </rPr>
      <t>s</t>
    </r>
    <r>
      <rPr>
        <i/>
        <sz val="11"/>
        <rFont val="Symbol"/>
        <family val="1"/>
      </rPr>
      <t>-47Dq</t>
    </r>
  </si>
  <si>
    <r>
      <t>q</t>
    </r>
    <r>
      <rPr>
        <i/>
        <vertAlign val="subscript"/>
        <sz val="11"/>
        <rFont val="Times New Roman"/>
        <family val="1"/>
      </rPr>
      <t>s</t>
    </r>
    <r>
      <rPr>
        <i/>
        <sz val="11"/>
        <rFont val="Symbol"/>
        <family val="1"/>
      </rPr>
      <t>-48Dq</t>
    </r>
  </si>
  <si>
    <r>
      <t>q</t>
    </r>
    <r>
      <rPr>
        <i/>
        <vertAlign val="subscript"/>
        <sz val="11"/>
        <rFont val="Times New Roman"/>
        <family val="1"/>
      </rPr>
      <t>s</t>
    </r>
    <r>
      <rPr>
        <i/>
        <sz val="11"/>
        <rFont val="Symbol"/>
        <family val="1"/>
      </rPr>
      <t>-49Dq</t>
    </r>
  </si>
  <si>
    <r>
      <t>q</t>
    </r>
    <r>
      <rPr>
        <i/>
        <vertAlign val="subscript"/>
        <sz val="11"/>
        <rFont val="Times New Roman"/>
        <family val="1"/>
      </rPr>
      <t>s</t>
    </r>
    <r>
      <rPr>
        <i/>
        <sz val="11"/>
        <rFont val="Symbol"/>
        <family val="1"/>
      </rPr>
      <t>-50Dq</t>
    </r>
  </si>
  <si>
    <r>
      <t>q</t>
    </r>
    <r>
      <rPr>
        <i/>
        <vertAlign val="subscript"/>
        <sz val="11"/>
        <rFont val="Times New Roman"/>
        <family val="1"/>
      </rPr>
      <t>s</t>
    </r>
    <r>
      <rPr>
        <i/>
        <sz val="11"/>
        <rFont val="Symbol"/>
        <family val="1"/>
      </rPr>
      <t>-51Dq</t>
    </r>
  </si>
  <si>
    <r>
      <t>q</t>
    </r>
    <r>
      <rPr>
        <i/>
        <vertAlign val="subscript"/>
        <sz val="11"/>
        <rFont val="Times New Roman"/>
        <family val="1"/>
      </rPr>
      <t>s</t>
    </r>
    <r>
      <rPr>
        <i/>
        <sz val="11"/>
        <rFont val="Symbol"/>
        <family val="1"/>
      </rPr>
      <t>-52Dq</t>
    </r>
  </si>
  <si>
    <r>
      <t>q</t>
    </r>
    <r>
      <rPr>
        <i/>
        <vertAlign val="subscript"/>
        <sz val="11"/>
        <rFont val="Times New Roman"/>
        <family val="1"/>
      </rPr>
      <t>s</t>
    </r>
    <r>
      <rPr>
        <i/>
        <sz val="11"/>
        <rFont val="Symbol"/>
        <family val="1"/>
      </rPr>
      <t>-53Dq</t>
    </r>
  </si>
  <si>
    <r>
      <t>q</t>
    </r>
    <r>
      <rPr>
        <i/>
        <vertAlign val="subscript"/>
        <sz val="11"/>
        <rFont val="Times New Roman"/>
        <family val="1"/>
      </rPr>
      <t>s</t>
    </r>
    <r>
      <rPr>
        <i/>
        <sz val="11"/>
        <rFont val="Symbol"/>
        <family val="1"/>
      </rPr>
      <t>-54Dq</t>
    </r>
  </si>
  <si>
    <r>
      <t>q</t>
    </r>
    <r>
      <rPr>
        <i/>
        <vertAlign val="subscript"/>
        <sz val="11"/>
        <rFont val="Times New Roman"/>
        <family val="1"/>
      </rPr>
      <t>s</t>
    </r>
    <r>
      <rPr>
        <i/>
        <sz val="11"/>
        <rFont val="Symbol"/>
        <family val="1"/>
      </rPr>
      <t>-55Dq</t>
    </r>
  </si>
  <si>
    <t>Capillary tube model</t>
  </si>
  <si>
    <r>
      <t>q</t>
    </r>
    <r>
      <rPr>
        <i/>
        <vertAlign val="subscript"/>
        <sz val="11"/>
        <rFont val="ＭＳ Ｐゴシック"/>
        <family val="3"/>
      </rPr>
      <t>r</t>
    </r>
  </si>
  <si>
    <r>
      <t>q</t>
    </r>
    <r>
      <rPr>
        <i/>
        <vertAlign val="subscript"/>
        <sz val="11"/>
        <rFont val="Times New Roman"/>
        <family val="1"/>
      </rPr>
      <t>s</t>
    </r>
  </si>
  <si>
    <t>a</t>
  </si>
  <si>
    <r>
      <t>K</t>
    </r>
    <r>
      <rPr>
        <i/>
        <vertAlign val="subscript"/>
        <sz val="11"/>
        <rFont val="Times New Roman"/>
        <family val="1"/>
      </rPr>
      <t xml:space="preserve">s </t>
    </r>
    <r>
      <rPr>
        <sz val="11"/>
        <rFont val="Times New Roman"/>
        <family val="1"/>
      </rPr>
      <t>(cm/day)</t>
    </r>
  </si>
  <si>
    <t>s</t>
  </si>
  <si>
    <r>
      <t>Jm</t>
    </r>
    <r>
      <rPr>
        <vertAlign val="superscript"/>
        <sz val="11"/>
        <rFont val="Times New Roman"/>
        <family val="1"/>
      </rPr>
      <t>-2</t>
    </r>
  </si>
  <si>
    <r>
      <t>gs</t>
    </r>
    <r>
      <rPr>
        <vertAlign val="superscript"/>
        <sz val="11"/>
        <rFont val="Times New Roman"/>
        <family val="1"/>
      </rPr>
      <t>-2</t>
    </r>
  </si>
  <si>
    <t>n</t>
  </si>
  <si>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</si>
  <si>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-1</t>
    </r>
    <r>
      <rPr>
        <sz val="11"/>
        <rFont val="Times New Roman"/>
        <family val="1"/>
      </rPr>
      <t>s</t>
    </r>
    <r>
      <rPr>
        <vertAlign val="superscript"/>
        <sz val="11"/>
        <rFont val="Times New Roman"/>
        <family val="1"/>
      </rPr>
      <t>-1</t>
    </r>
  </si>
  <si>
    <r>
      <t>r</t>
    </r>
    <r>
      <rPr>
        <i/>
        <vertAlign val="subscript"/>
        <sz val="11"/>
        <rFont val="Times New Roman"/>
        <family val="1"/>
      </rPr>
      <t>w</t>
    </r>
  </si>
  <si>
    <r>
      <t>gcm</t>
    </r>
    <r>
      <rPr>
        <vertAlign val="superscript"/>
        <sz val="11"/>
        <rFont val="Times New Roman"/>
        <family val="1"/>
      </rPr>
      <t>-3</t>
    </r>
  </si>
  <si>
    <t>g</t>
  </si>
  <si>
    <r>
      <t>ms</t>
    </r>
    <r>
      <rPr>
        <vertAlign val="superscript"/>
        <sz val="11"/>
        <rFont val="Times New Roman"/>
        <family val="1"/>
      </rPr>
      <t>-2</t>
    </r>
  </si>
  <si>
    <r>
      <t>cms</t>
    </r>
    <r>
      <rPr>
        <vertAlign val="superscript"/>
        <sz val="11"/>
        <rFont val="Times New Roman"/>
        <family val="1"/>
      </rPr>
      <t>-2</t>
    </r>
  </si>
  <si>
    <t>Dq</t>
  </si>
  <si>
    <r>
      <t>S</t>
    </r>
    <r>
      <rPr>
        <i/>
        <vertAlign val="subscript"/>
        <sz val="11"/>
        <rFont val="Times New Roman"/>
        <family val="1"/>
      </rPr>
      <t>e</t>
    </r>
  </si>
  <si>
    <t>q</t>
  </si>
  <si>
    <t>J</t>
  </si>
  <si>
    <r>
      <t>|h</t>
    </r>
    <r>
      <rPr>
        <i/>
        <vertAlign val="subscript"/>
        <sz val="11"/>
        <rFont val="Times New Roman"/>
        <family val="1"/>
      </rPr>
      <t>J</t>
    </r>
    <r>
      <rPr>
        <i/>
        <sz val="11"/>
        <rFont val="Times New Roman"/>
        <family val="1"/>
      </rPr>
      <t>|</t>
    </r>
  </si>
  <si>
    <r>
      <t>R</t>
    </r>
    <r>
      <rPr>
        <i/>
        <vertAlign val="subscript"/>
        <sz val="11"/>
        <rFont val="Times New Roman"/>
        <family val="1"/>
      </rPr>
      <t>J</t>
    </r>
  </si>
  <si>
    <r>
      <t>n</t>
    </r>
    <r>
      <rPr>
        <i/>
        <vertAlign val="subscript"/>
        <sz val="11"/>
        <rFont val="Times New Roman"/>
        <family val="1"/>
      </rPr>
      <t>J</t>
    </r>
  </si>
  <si>
    <r>
      <t>1/h</t>
    </r>
    <r>
      <rPr>
        <i/>
        <vertAlign val="subscript"/>
        <sz val="11"/>
        <rFont val="Times New Roman"/>
        <family val="1"/>
      </rPr>
      <t>J</t>
    </r>
    <r>
      <rPr>
        <i/>
        <vertAlign val="superscript"/>
        <sz val="11"/>
        <rFont val="Times New Roman"/>
        <family val="1"/>
      </rPr>
      <t>2</t>
    </r>
  </si>
  <si>
    <t>t</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</si>
  <si>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</si>
  <si>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</si>
  <si>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r>
      <t>K</t>
    </r>
    <r>
      <rPr>
        <i/>
        <vertAlign val="subscript"/>
        <sz val="11"/>
        <rFont val="Times New Roman"/>
        <family val="1"/>
      </rPr>
      <t>capillary</t>
    </r>
  </si>
  <si>
    <r>
      <t>K</t>
    </r>
    <r>
      <rPr>
        <i/>
        <vertAlign val="subscript"/>
        <sz val="11"/>
        <rFont val="Times New Roman"/>
        <family val="1"/>
      </rPr>
      <t>Mualem</t>
    </r>
  </si>
  <si>
    <r>
      <t>Capillary tube model (</t>
    </r>
    <r>
      <rPr>
        <b/>
        <i/>
        <sz val="14"/>
        <rFont val="Symbol"/>
        <family val="1"/>
      </rPr>
      <t>Dq</t>
    </r>
    <r>
      <rPr>
        <b/>
        <sz val="14"/>
        <rFont val="Arial"/>
        <family val="2"/>
      </rPr>
      <t>=0.01)</t>
    </r>
  </si>
  <si>
    <r>
      <t>Capillary tube model (</t>
    </r>
    <r>
      <rPr>
        <b/>
        <i/>
        <sz val="14"/>
        <rFont val="Symbol"/>
        <family val="1"/>
      </rPr>
      <t>Dq</t>
    </r>
    <r>
      <rPr>
        <b/>
        <sz val="14"/>
        <rFont val="Arial"/>
        <family val="2"/>
      </rPr>
      <t>=0.05)</t>
    </r>
  </si>
  <si>
    <r>
      <t>Capillary tube model (</t>
    </r>
    <r>
      <rPr>
        <b/>
        <i/>
        <sz val="14"/>
        <rFont val="Symbol"/>
        <family val="1"/>
      </rPr>
      <t>Dq</t>
    </r>
    <r>
      <rPr>
        <b/>
        <sz val="14"/>
        <rFont val="Arial"/>
        <family val="2"/>
      </rPr>
      <t>=0.1)</t>
    </r>
  </si>
  <si>
    <r>
      <t>Millington &amp; Quirk</t>
    </r>
    <r>
      <rPr>
        <b/>
        <sz val="11"/>
        <rFont val="Arial"/>
        <family val="2"/>
      </rPr>
      <t xml:space="preserve"> tortuosity model</t>
    </r>
  </si>
  <si>
    <r>
      <t>水分量間隔</t>
    </r>
    <r>
      <rPr>
        <sz val="11"/>
        <rFont val="Symbol"/>
        <family val="1"/>
      </rPr>
      <t>D</t>
    </r>
    <r>
      <rPr>
        <i/>
        <sz val="11"/>
        <rFont val="Symbol"/>
        <family val="1"/>
      </rPr>
      <t>q</t>
    </r>
    <r>
      <rPr>
        <sz val="11"/>
        <rFont val="ＭＳ Ｐ明朝"/>
        <family val="1"/>
      </rPr>
      <t>をそれぞれ</t>
    </r>
    <r>
      <rPr>
        <sz val="11"/>
        <rFont val="Times New Roman"/>
        <family val="1"/>
      </rPr>
      <t>0.01</t>
    </r>
    <r>
      <rPr>
        <sz val="11"/>
        <rFont val="ＭＳ Ｐ明朝"/>
        <family val="1"/>
      </rPr>
      <t>，</t>
    </r>
    <r>
      <rPr>
        <sz val="11"/>
        <rFont val="Times New Roman"/>
        <family val="1"/>
      </rPr>
      <t>0.05</t>
    </r>
    <r>
      <rPr>
        <sz val="11"/>
        <rFont val="ＭＳ Ｐ明朝"/>
        <family val="1"/>
      </rPr>
      <t>，</t>
    </r>
    <r>
      <rPr>
        <sz val="11"/>
        <rFont val="Times New Roman"/>
        <family val="1"/>
      </rPr>
      <t>0.1</t>
    </r>
    <r>
      <rPr>
        <sz val="11"/>
        <rFont val="ＭＳ Ｐ明朝"/>
        <family val="1"/>
      </rPr>
      <t>とした。</t>
    </r>
  </si>
  <si>
    <r>
      <t>Sheet</t>
    </r>
    <r>
      <rPr>
        <b/>
        <sz val="11"/>
        <rFont val="ＭＳ Ｐ明朝"/>
        <family val="1"/>
      </rPr>
      <t xml:space="preserve"> "delta theta = 0.01", "delta theta = 0.05", "delta theta = 0.1"</t>
    </r>
  </si>
  <si>
    <r>
      <t xml:space="preserve">Sheet </t>
    </r>
    <r>
      <rPr>
        <b/>
        <sz val="11"/>
        <rFont val="ＭＳ Ｐ明朝"/>
        <family val="1"/>
      </rPr>
      <t>"Millington &amp; Quirk"</t>
    </r>
  </si>
  <si>
    <r>
      <t xml:space="preserve">Sheet </t>
    </r>
    <r>
      <rPr>
        <b/>
        <sz val="11"/>
        <rFont val="ＭＳ Ｐ明朝"/>
        <family val="1"/>
      </rPr>
      <t>"tortuosity by fitting"</t>
    </r>
  </si>
  <si>
    <r>
      <t>Mualem</t>
    </r>
    <r>
      <rPr>
        <sz val="11"/>
        <rFont val="ＭＳ Ｐ明朝"/>
        <family val="1"/>
      </rPr>
      <t>モデル，毛管モデルによる不飽和透水係数が一致するように屈曲度</t>
    </r>
    <r>
      <rPr>
        <i/>
        <sz val="11"/>
        <rFont val="Symbol"/>
        <family val="1"/>
      </rPr>
      <t>t</t>
    </r>
    <r>
      <rPr>
        <sz val="11"/>
        <rFont val="ＭＳ Ｐ明朝"/>
        <family val="1"/>
      </rPr>
      <t>を求めた。</t>
    </r>
  </si>
  <si>
    <t>3章　3.3.3 不飽和透水係数の毛管モデル</t>
  </si>
  <si>
    <r>
      <t>毛管の半径</t>
    </r>
    <r>
      <rPr>
        <i/>
        <sz val="11"/>
        <rFont val="Times New Roman"/>
        <family val="1"/>
      </rPr>
      <t>R</t>
    </r>
    <r>
      <rPr>
        <i/>
        <vertAlign val="subscript"/>
        <sz val="11"/>
        <rFont val="Times New Roman"/>
        <family val="1"/>
      </rPr>
      <t>J</t>
    </r>
    <r>
      <rPr>
        <i/>
        <sz val="11"/>
        <rFont val="ＭＳ Ｐ明朝"/>
        <family val="1"/>
      </rPr>
      <t xml:space="preserve"> </t>
    </r>
    <r>
      <rPr>
        <sz val="11"/>
        <rFont val="ＭＳ Ｐ明朝"/>
        <family val="1"/>
      </rPr>
      <t>と単位断面積あたりの本数</t>
    </r>
    <r>
      <rPr>
        <i/>
        <sz val="11"/>
        <rFont val="ＭＳ Ｐ明朝"/>
        <family val="1"/>
      </rPr>
      <t>n</t>
    </r>
    <r>
      <rPr>
        <i/>
        <vertAlign val="subscript"/>
        <sz val="11"/>
        <rFont val="ＭＳ Ｐ明朝"/>
        <family val="1"/>
      </rPr>
      <t>J</t>
    </r>
    <r>
      <rPr>
        <sz val="11"/>
        <rFont val="ＭＳ Ｐ明朝"/>
        <family val="1"/>
      </rPr>
      <t>の関係，Mualemモデルと毛管モデルによる不飽和透水係数の比較をグラフに示す。</t>
    </r>
  </si>
  <si>
    <r>
      <t>屈曲度</t>
    </r>
    <r>
      <rPr>
        <i/>
        <sz val="11"/>
        <rFont val="Symbol"/>
        <family val="1"/>
      </rPr>
      <t>t</t>
    </r>
    <r>
      <rPr>
        <sz val="11"/>
        <rFont val="ＭＳ Ｐ明朝"/>
        <family val="1"/>
      </rPr>
      <t>は変更することができる。</t>
    </r>
  </si>
  <si>
    <r>
      <t>水分量間隔</t>
    </r>
    <r>
      <rPr>
        <sz val="11"/>
        <rFont val="Symbol"/>
        <family val="1"/>
      </rPr>
      <t>D</t>
    </r>
    <r>
      <rPr>
        <i/>
        <sz val="11"/>
        <rFont val="Symbol"/>
        <family val="1"/>
      </rPr>
      <t>q</t>
    </r>
    <r>
      <rPr>
        <sz val="11"/>
        <rFont val="ＭＳ Ｐ明朝"/>
        <family val="1"/>
      </rPr>
      <t>が小さいほど，より多くの毛管半径</t>
    </r>
    <r>
      <rPr>
        <i/>
        <sz val="11"/>
        <rFont val="Times New Roman"/>
        <family val="1"/>
      </rPr>
      <t>R</t>
    </r>
    <r>
      <rPr>
        <i/>
        <vertAlign val="subscript"/>
        <sz val="11"/>
        <rFont val="Times New Roman"/>
        <family val="1"/>
      </rPr>
      <t>J</t>
    </r>
    <r>
      <rPr>
        <sz val="11"/>
        <rFont val="ＭＳ Ｐ明朝"/>
        <family val="1"/>
      </rPr>
      <t>を求めることができる。また細い半径と太い半径についても計算できる。</t>
    </r>
  </si>
  <si>
    <r>
      <t>屈曲度</t>
    </r>
    <r>
      <rPr>
        <i/>
        <sz val="11"/>
        <rFont val="Symbol"/>
        <family val="1"/>
      </rPr>
      <t>t</t>
    </r>
    <r>
      <rPr>
        <sz val="11"/>
        <rFont val="ＭＳ Ｐゴシック"/>
        <family val="3"/>
      </rPr>
      <t>が小さいほど不飽和透水係数は小さくなる。</t>
    </r>
  </si>
  <si>
    <r>
      <t>屈曲度</t>
    </r>
    <r>
      <rPr>
        <i/>
        <sz val="11"/>
        <rFont val="Symbol"/>
        <family val="1"/>
      </rPr>
      <t>t</t>
    </r>
    <r>
      <rPr>
        <sz val="11"/>
        <rFont val="ＭＳ Ｐ明朝"/>
        <family val="1"/>
      </rPr>
      <t>を体積含水率</t>
    </r>
    <r>
      <rPr>
        <i/>
        <sz val="11"/>
        <rFont val="Symbol"/>
        <family val="1"/>
      </rPr>
      <t>q</t>
    </r>
    <r>
      <rPr>
        <sz val="11"/>
        <rFont val="ＭＳ Ｐ明朝"/>
        <family val="1"/>
      </rPr>
      <t>の関数とした</t>
    </r>
    <r>
      <rPr>
        <sz val="11"/>
        <rFont val="Times New Roman"/>
        <family val="1"/>
      </rPr>
      <t>Millington &amp; Quirk</t>
    </r>
    <r>
      <rPr>
        <sz val="11"/>
        <rFont val="ＭＳ Ｐ明朝"/>
        <family val="1"/>
      </rPr>
      <t>モデル（</t>
    </r>
    <r>
      <rPr>
        <sz val="11"/>
        <rFont val="Times New Roman"/>
        <family val="1"/>
      </rPr>
      <t>1961</t>
    </r>
    <r>
      <rPr>
        <sz val="11"/>
        <rFont val="ＭＳ Ｐ明朝"/>
        <family val="1"/>
      </rPr>
      <t>）を用いた。</t>
    </r>
  </si>
  <si>
    <r>
      <t>屈曲度</t>
    </r>
    <r>
      <rPr>
        <i/>
        <sz val="11"/>
        <rFont val="Symbol"/>
        <family val="1"/>
      </rPr>
      <t>t</t>
    </r>
    <r>
      <rPr>
        <sz val="11"/>
        <rFont val="ＭＳ Ｐゴシック"/>
        <family val="3"/>
      </rPr>
      <t>によっては</t>
    </r>
    <r>
      <rPr>
        <sz val="11"/>
        <rFont val="Times New Roman"/>
        <family val="1"/>
      </rPr>
      <t>Mualem</t>
    </r>
    <r>
      <rPr>
        <sz val="11"/>
        <rFont val="ＭＳ Ｐゴシック"/>
        <family val="3"/>
      </rPr>
      <t>モデルと近い不飽和透水係数となる（</t>
    </r>
    <r>
      <rPr>
        <i/>
        <sz val="11"/>
        <rFont val="Symbol"/>
        <family val="1"/>
      </rPr>
      <t>Dq</t>
    </r>
    <r>
      <rPr>
        <sz val="11"/>
        <rFont val="Times New Roman"/>
        <family val="1"/>
      </rPr>
      <t>=</t>
    </r>
    <r>
      <rPr>
        <sz val="11"/>
        <rFont val="Symbol"/>
        <family val="1"/>
      </rPr>
      <t>0.01</t>
    </r>
    <r>
      <rPr>
        <sz val="11"/>
        <rFont val="ＭＳ Ｐゴシック"/>
        <family val="3"/>
      </rPr>
      <t>では</t>
    </r>
    <r>
      <rPr>
        <i/>
        <sz val="11"/>
        <rFont val="Symbol"/>
        <family val="1"/>
      </rPr>
      <t>t</t>
    </r>
    <r>
      <rPr>
        <sz val="11"/>
        <rFont val="Symbol"/>
        <family val="1"/>
      </rPr>
      <t>=0.02</t>
    </r>
    <r>
      <rPr>
        <sz val="11"/>
        <rFont val="ＭＳ Ｐゴシック"/>
        <family val="3"/>
      </rPr>
      <t>付近）。</t>
    </r>
  </si>
  <si>
    <r>
      <t>Millington &amp; Quirk</t>
    </r>
    <r>
      <rPr>
        <sz val="11"/>
        <rFont val="ＭＳ Ｐゴシック"/>
        <family val="3"/>
      </rPr>
      <t>モデルと同様に，体積含水率</t>
    </r>
    <r>
      <rPr>
        <i/>
        <sz val="11"/>
        <rFont val="Symbol"/>
        <family val="1"/>
      </rPr>
      <t>q</t>
    </r>
    <r>
      <rPr>
        <sz val="11"/>
        <rFont val="ＭＳ Ｐゴシック"/>
        <family val="3"/>
      </rPr>
      <t>が大きくなるほど屈曲度</t>
    </r>
    <r>
      <rPr>
        <i/>
        <sz val="11"/>
        <rFont val="Symbol"/>
        <family val="1"/>
      </rPr>
      <t>t</t>
    </r>
    <r>
      <rPr>
        <sz val="11"/>
        <rFont val="ＭＳ Ｐゴシック"/>
        <family val="3"/>
      </rPr>
      <t>が大きくなる関係が得られる。</t>
    </r>
  </si>
  <si>
    <t>van Genuchten-Mualem</t>
  </si>
  <si>
    <r>
      <t>q</t>
    </r>
    <r>
      <rPr>
        <i/>
        <vertAlign val="subscript"/>
        <sz val="11"/>
        <rFont val="Times New Roman"/>
        <family val="1"/>
      </rPr>
      <t>s</t>
    </r>
    <r>
      <rPr>
        <i/>
        <sz val="11"/>
        <rFont val="Symbol"/>
        <family val="1"/>
      </rPr>
      <t>-55Dq</t>
    </r>
  </si>
  <si>
    <r>
      <t>q</t>
    </r>
    <r>
      <rPr>
        <i/>
        <vertAlign val="subscript"/>
        <sz val="11"/>
        <rFont val="Times New Roman"/>
        <family val="1"/>
      </rPr>
      <t>s</t>
    </r>
    <r>
      <rPr>
        <i/>
        <sz val="11"/>
        <rFont val="Symbol"/>
        <family val="1"/>
      </rPr>
      <t>-Dq</t>
    </r>
  </si>
  <si>
    <r>
      <t xml:space="preserve">calculating </t>
    </r>
    <r>
      <rPr>
        <b/>
        <i/>
        <sz val="11"/>
        <rFont val="Symbol"/>
        <family val="1"/>
      </rPr>
      <t>t</t>
    </r>
    <r>
      <rPr>
        <b/>
        <sz val="11"/>
        <rFont val="Arial"/>
        <family val="2"/>
      </rPr>
      <t xml:space="preserve"> to fit with </t>
    </r>
    <r>
      <rPr>
        <b/>
        <i/>
        <sz val="11"/>
        <rFont val="Arial"/>
        <family val="2"/>
      </rPr>
      <t>Mualem</t>
    </r>
    <r>
      <rPr>
        <b/>
        <sz val="11"/>
        <rFont val="Arial"/>
        <family val="2"/>
      </rPr>
      <t>'s model</t>
    </r>
  </si>
  <si>
    <r>
      <t>van Genuchten</t>
    </r>
    <r>
      <rPr>
        <sz val="11"/>
        <rFont val="ＭＳ Ｐ明朝"/>
        <family val="1"/>
      </rPr>
      <t>モデル</t>
    </r>
    <r>
      <rPr>
        <sz val="11"/>
        <rFont val="Times New Roman"/>
        <family val="1"/>
      </rPr>
      <t>(Sheet</t>
    </r>
    <r>
      <rPr>
        <b/>
        <sz val="11"/>
        <rFont val="Times New Roman"/>
        <family val="1"/>
      </rPr>
      <t>"van Genuchten model"</t>
    </r>
    <r>
      <rPr>
        <sz val="11"/>
        <rFont val="Times New Roman"/>
        <family val="1"/>
      </rPr>
      <t>)</t>
    </r>
    <r>
      <rPr>
        <sz val="11"/>
        <rFont val="ＭＳ Ｐ明朝"/>
        <family val="1"/>
      </rPr>
      <t>で示した水分特性曲線について毛管モデルを適用した不飽和透水係数の計算例。</t>
    </r>
  </si>
  <si>
    <r>
      <t>(</t>
    </r>
    <r>
      <rPr>
        <sz val="11"/>
        <rFont val="ＭＳ Ｐゴシック"/>
        <family val="3"/>
      </rPr>
      <t xml:space="preserve">2006.5.10, </t>
    </r>
    <r>
      <rPr>
        <sz val="11"/>
        <rFont val="ＭＳ Ｐゴシック"/>
        <family val="3"/>
      </rPr>
      <t>坂井　勝）</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</si>
</sst>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000_ "/>
    <numFmt numFmtId="178" formatCode="0.0000_ "/>
    <numFmt numFmtId="179" formatCode="0.000_ "/>
    <numFmt numFmtId="180" formatCode="&quot;Yes&quot;;&quot;Yes&quot;;&quot;No&quot;"/>
    <numFmt numFmtId="181" formatCode="&quot;True&quot;;&quot;True&quot;;&quot;False&quot;"/>
    <numFmt numFmtId="182" formatCode="&quot;On&quot;;&quot;On&quot;;&quot;Off&quot;"/>
    <numFmt numFmtId="183" formatCode="[$€-2]\ #,##0.00_);[Red]\([$€-2]\ #,##0.00\)"/>
  </numFmts>
  <fonts count="34">
    <font>
      <sz val="11"/>
      <name val="ＭＳ Ｐゴシック"/>
      <family val="3"/>
    </font>
    <font>
      <sz val="6"/>
      <name val="ＭＳ Ｐゴシック"/>
      <family val="3"/>
    </font>
    <font>
      <b/>
      <sz val="14"/>
      <name val="Arial"/>
      <family val="2"/>
    </font>
    <font>
      <i/>
      <vertAlign val="subscript"/>
      <sz val="11"/>
      <name val="ＭＳ Ｐゴシック"/>
      <family val="3"/>
    </font>
    <font>
      <i/>
      <sz val="11"/>
      <name val="Symbol"/>
      <family val="1"/>
    </font>
    <font>
      <i/>
      <vertAlign val="subscript"/>
      <sz val="11"/>
      <name val="Times New Roman"/>
      <family val="1"/>
    </font>
    <font>
      <i/>
      <sz val="11"/>
      <name val="Times New Roman"/>
      <family val="1"/>
    </font>
    <font>
      <sz val="11"/>
      <name val="Times New Roman"/>
      <family val="1"/>
    </font>
    <font>
      <i/>
      <sz val="11"/>
      <name val="ＭＳ Ｐゴシック"/>
      <family val="3"/>
    </font>
    <font>
      <vertAlign val="superscript"/>
      <sz val="11"/>
      <name val="Times New Roman"/>
      <family val="1"/>
    </font>
    <font>
      <i/>
      <vertAlign val="superscript"/>
      <sz val="11"/>
      <name val="Times New Roman"/>
      <family val="1"/>
    </font>
    <font>
      <sz val="11.25"/>
      <name val="Times New Roman"/>
      <family val="1"/>
    </font>
    <font>
      <sz val="11.75"/>
      <name val="Times New Roman"/>
      <family val="1"/>
    </font>
    <font>
      <sz val="12"/>
      <name val="Times New Roman"/>
      <family val="1"/>
    </font>
    <font>
      <b/>
      <sz val="11"/>
      <name val="Arial"/>
      <family val="2"/>
    </font>
    <font>
      <sz val="10.5"/>
      <name val="Times New Roman"/>
      <family val="1"/>
    </font>
    <font>
      <sz val="9.75"/>
      <name val="Times New Roman"/>
      <family val="1"/>
    </font>
    <font>
      <i/>
      <sz val="9.75"/>
      <name val="Symbol"/>
      <family val="1"/>
    </font>
    <font>
      <b/>
      <i/>
      <sz val="14"/>
      <name val="Symbol"/>
      <family val="1"/>
    </font>
    <font>
      <b/>
      <i/>
      <sz val="11"/>
      <name val="Arial"/>
      <family val="2"/>
    </font>
    <font>
      <sz val="11"/>
      <name val="ＭＳ Ｐ明朝"/>
      <family val="1"/>
    </font>
    <font>
      <sz val="11"/>
      <name val="Symbol"/>
      <family val="1"/>
    </font>
    <font>
      <i/>
      <sz val="11"/>
      <name val="ＭＳ Ｐ明朝"/>
      <family val="1"/>
    </font>
    <font>
      <i/>
      <vertAlign val="subscript"/>
      <sz val="11"/>
      <name val="ＭＳ Ｐ明朝"/>
      <family val="1"/>
    </font>
    <font>
      <b/>
      <sz val="11"/>
      <name val="ＭＳ Ｐ明朝"/>
      <family val="1"/>
    </font>
    <font>
      <sz val="11.5"/>
      <name val="Times New Roman"/>
      <family val="1"/>
    </font>
    <font>
      <i/>
      <sz val="11.5"/>
      <name val="Times New Roman"/>
      <family val="1"/>
    </font>
    <font>
      <i/>
      <sz val="11.5"/>
      <name val="Symbol"/>
      <family val="1"/>
    </font>
    <font>
      <u val="single"/>
      <sz val="8.25"/>
      <color indexed="12"/>
      <name val="ＭＳ Ｐゴシック"/>
      <family val="3"/>
    </font>
    <font>
      <u val="single"/>
      <sz val="8.25"/>
      <color indexed="36"/>
      <name val="ＭＳ Ｐゴシック"/>
      <family val="3"/>
    </font>
    <font>
      <b/>
      <sz val="14"/>
      <name val="ＭＳ Ｐゴシック"/>
      <family val="3"/>
    </font>
    <font>
      <sz val="14"/>
      <name val="ＭＳ Ｐゴシック"/>
      <family val="3"/>
    </font>
    <font>
      <b/>
      <i/>
      <sz val="11"/>
      <name val="Symbol"/>
      <family val="1"/>
    </font>
    <font>
      <b/>
      <sz val="11"/>
      <name val="Times New Roman"/>
      <family val="1"/>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9" fillId="0" borderId="0" applyNumberFormat="0" applyFill="0" applyBorder="0" applyAlignment="0" applyProtection="0"/>
  </cellStyleXfs>
  <cellXfs count="43">
    <xf numFmtId="0" fontId="0" fillId="0" borderId="0" xfId="0" applyAlignment="1">
      <alignment/>
    </xf>
    <xf numFmtId="0" fontId="2" fillId="0" borderId="0" xfId="21" applyFont="1">
      <alignment vertical="center"/>
      <protection/>
    </xf>
    <xf numFmtId="0" fontId="0" fillId="0" borderId="0" xfId="21">
      <alignment vertical="center"/>
      <protection/>
    </xf>
    <xf numFmtId="0" fontId="0" fillId="0" borderId="0" xfId="21" applyBorder="1">
      <alignment vertical="center"/>
      <protection/>
    </xf>
    <xf numFmtId="0" fontId="4" fillId="0" borderId="1" xfId="21" applyFont="1" applyFill="1" applyBorder="1" applyAlignment="1">
      <alignment horizontal="center" vertical="center"/>
      <protection/>
    </xf>
    <xf numFmtId="0" fontId="0" fillId="0" borderId="2" xfId="21" applyBorder="1">
      <alignment vertical="center"/>
      <protection/>
    </xf>
    <xf numFmtId="0" fontId="0" fillId="0" borderId="0" xfId="21" applyFill="1" applyBorder="1">
      <alignment vertical="center"/>
      <protection/>
    </xf>
    <xf numFmtId="0" fontId="4" fillId="2" borderId="3" xfId="21" applyFont="1" applyFill="1" applyBorder="1" applyAlignment="1">
      <alignment horizontal="center" vertical="center"/>
      <protection/>
    </xf>
    <xf numFmtId="0" fontId="0" fillId="2" borderId="4" xfId="21" applyFill="1" applyBorder="1">
      <alignment vertical="center"/>
      <protection/>
    </xf>
    <xf numFmtId="0" fontId="4" fillId="0" borderId="3" xfId="21" applyFont="1" applyFill="1" applyBorder="1" applyAlignment="1">
      <alignment horizontal="center" vertical="center"/>
      <protection/>
    </xf>
    <xf numFmtId="0" fontId="0" fillId="0" borderId="4" xfId="21" applyBorder="1">
      <alignment vertical="center"/>
      <protection/>
    </xf>
    <xf numFmtId="0" fontId="6" fillId="3" borderId="3" xfId="21" applyFont="1" applyFill="1" applyBorder="1" applyAlignment="1">
      <alignment horizontal="center" vertical="center"/>
      <protection/>
    </xf>
    <xf numFmtId="0" fontId="0" fillId="3" borderId="4" xfId="21" applyFill="1" applyBorder="1">
      <alignment vertical="center"/>
      <protection/>
    </xf>
    <xf numFmtId="0" fontId="6" fillId="0" borderId="3" xfId="21" applyFont="1" applyFill="1" applyBorder="1" applyAlignment="1">
      <alignment horizontal="center" vertical="center"/>
      <protection/>
    </xf>
    <xf numFmtId="0" fontId="6" fillId="4" borderId="5" xfId="21" applyFont="1" applyFill="1" applyBorder="1" applyAlignment="1">
      <alignment horizontal="center" vertical="center"/>
      <protection/>
    </xf>
    <xf numFmtId="0" fontId="0" fillId="4" borderId="6" xfId="21" applyFill="1" applyBorder="1">
      <alignment vertical="center"/>
      <protection/>
    </xf>
    <xf numFmtId="0" fontId="7" fillId="0" borderId="0"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4" fillId="0" borderId="0" xfId="21" applyFont="1" applyFill="1" applyBorder="1" applyAlignment="1">
      <alignment horizontal="center" vertical="center"/>
      <protection/>
    </xf>
    <xf numFmtId="0" fontId="0" fillId="0" borderId="0" xfId="21" applyFill="1">
      <alignment vertical="center"/>
      <protection/>
    </xf>
    <xf numFmtId="0" fontId="4" fillId="0" borderId="0" xfId="21" applyFont="1" applyAlignment="1">
      <alignment horizontal="center" vertical="center"/>
      <protection/>
    </xf>
    <xf numFmtId="0" fontId="0" fillId="0" borderId="0" xfId="21" applyFont="1" applyAlignment="1">
      <alignment horizontal="center" vertical="center"/>
      <protection/>
    </xf>
    <xf numFmtId="0" fontId="6" fillId="0" borderId="0" xfId="21" applyFont="1" applyAlignment="1">
      <alignment horizontal="center" vertical="center"/>
      <protection/>
    </xf>
    <xf numFmtId="0" fontId="0" fillId="0" borderId="0" xfId="21" applyFont="1">
      <alignment vertical="center"/>
      <protection/>
    </xf>
    <xf numFmtId="0" fontId="14" fillId="0" borderId="0" xfId="21" applyFont="1">
      <alignment vertical="center"/>
      <protection/>
    </xf>
    <xf numFmtId="0" fontId="0" fillId="0" borderId="7" xfId="21" applyFill="1" applyBorder="1">
      <alignment vertical="center"/>
      <protection/>
    </xf>
    <xf numFmtId="0" fontId="7" fillId="0" borderId="8" xfId="21" applyFont="1" applyFill="1" applyBorder="1">
      <alignment vertical="center"/>
      <protection/>
    </xf>
    <xf numFmtId="0" fontId="4" fillId="0" borderId="9" xfId="21" applyFont="1" applyBorder="1" applyAlignment="1">
      <alignment horizontal="center" vertical="center"/>
      <protection/>
    </xf>
    <xf numFmtId="0" fontId="4" fillId="0" borderId="10" xfId="21" applyFont="1" applyBorder="1" applyAlignment="1">
      <alignment horizontal="center" vertical="center"/>
      <protection/>
    </xf>
    <xf numFmtId="0" fontId="0" fillId="0" borderId="11" xfId="21" applyFill="1" applyBorder="1">
      <alignment vertical="center"/>
      <protection/>
    </xf>
    <xf numFmtId="0" fontId="7" fillId="0" borderId="2" xfId="21" applyFont="1" applyFill="1" applyBorder="1">
      <alignment vertical="center"/>
      <protection/>
    </xf>
    <xf numFmtId="0" fontId="8" fillId="0" borderId="9" xfId="21" applyFont="1" applyBorder="1" applyAlignment="1">
      <alignment horizontal="center" vertical="center"/>
      <protection/>
    </xf>
    <xf numFmtId="0" fontId="0" fillId="0" borderId="12" xfId="21" applyFill="1" applyBorder="1">
      <alignment vertical="center"/>
      <protection/>
    </xf>
    <xf numFmtId="0" fontId="0" fillId="5" borderId="9" xfId="21" applyFill="1" applyBorder="1">
      <alignment vertical="center"/>
      <protection/>
    </xf>
    <xf numFmtId="0" fontId="0" fillId="3" borderId="9" xfId="21" applyFill="1" applyBorder="1">
      <alignment vertical="center"/>
      <protection/>
    </xf>
    <xf numFmtId="0" fontId="19" fillId="0" borderId="0" xfId="21" applyFont="1">
      <alignment vertical="center"/>
      <protection/>
    </xf>
    <xf numFmtId="0" fontId="20" fillId="0" borderId="0" xfId="0" applyFont="1" applyAlignment="1">
      <alignment/>
    </xf>
    <xf numFmtId="0" fontId="7" fillId="0" borderId="0" xfId="0" applyFont="1" applyAlignment="1">
      <alignment/>
    </xf>
    <xf numFmtId="0" fontId="7" fillId="0" borderId="0" xfId="21" applyFont="1" applyFill="1" applyBorder="1">
      <alignment vertical="center"/>
      <protection/>
    </xf>
    <xf numFmtId="0" fontId="8" fillId="0" borderId="0" xfId="21" applyFont="1" applyFill="1" applyBorder="1" applyAlignment="1">
      <alignment horizontal="center" vertical="center"/>
      <protection/>
    </xf>
    <xf numFmtId="0" fontId="30" fillId="0" borderId="0" xfId="0" applyFont="1" applyAlignment="1">
      <alignment/>
    </xf>
    <xf numFmtId="0" fontId="31" fillId="0" borderId="0" xfId="0" applyFont="1" applyAlignment="1">
      <alignment/>
    </xf>
    <xf numFmtId="0" fontId="0" fillId="0" borderId="0" xfId="0" applyFont="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HydraulicModels" xfId="21"/>
    <cellStyle name="Followed Hyperlink"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625"/>
          <c:w val="0.86675"/>
          <c:h val="0.941"/>
        </c:manualLayout>
      </c:layout>
      <c:scatterChart>
        <c:scatterStyle val="smooth"/>
        <c:varyColors val="0"/>
        <c:ser>
          <c:idx val="0"/>
          <c:order val="0"/>
          <c:tx>
            <c:v>q</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model'!$A$37:$A$94</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xVal>
          <c:yVal>
            <c:numRef>
              <c:f>'van Genuchten model'!$C$37:$C$94</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yVal>
          <c:smooth val="1"/>
        </c:ser>
        <c:axId val="49982264"/>
        <c:axId val="47187193"/>
      </c:scatterChart>
      <c:scatterChart>
        <c:scatterStyle val="lineMarker"/>
        <c:varyColors val="0"/>
        <c:ser>
          <c:idx val="1"/>
          <c:order val="1"/>
          <c:tx>
            <c:v>K</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'van Genuchten model'!$D$37:$D$87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22031554"/>
        <c:axId val="64066259"/>
      </c:scatterChart>
      <c:valAx>
        <c:axId val="49982264"/>
        <c:scaling>
          <c:logBase val="10"/>
          <c:orientation val="minMax"/>
          <c:max val="10000"/>
          <c:min val="1"/>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47187193"/>
        <c:crosses val="autoZero"/>
        <c:crossBetween val="midCat"/>
        <c:dispUnits/>
      </c:valAx>
      <c:valAx>
        <c:axId val="47187193"/>
        <c:scaling>
          <c:orientation val="minMax"/>
          <c:max val="0.8"/>
          <c:min val="0"/>
        </c:scaling>
        <c:axPos val="l"/>
        <c:title>
          <c:tx>
            <c:rich>
              <a:bodyPr vert="horz" rot="-5400000" anchor="ctr"/>
              <a:lstStyle/>
              <a:p>
                <a:pPr algn="ctr">
                  <a:defRPr/>
                </a:pPr>
                <a:r>
                  <a:rPr lang="en-US"/>
                  <a:t>Volumetric water content</a:t>
                </a:r>
              </a:p>
            </c:rich>
          </c:tx>
          <c:layout/>
          <c:overlay val="0"/>
          <c:spPr>
            <a:noFill/>
            <a:ln>
              <a:noFill/>
            </a:ln>
          </c:spPr>
        </c:title>
        <c:delete val="0"/>
        <c:numFmt formatCode="General" sourceLinked="1"/>
        <c:majorTickMark val="in"/>
        <c:minorTickMark val="none"/>
        <c:tickLblPos val="nextTo"/>
        <c:crossAx val="49982264"/>
        <c:crosses val="autoZero"/>
        <c:crossBetween val="midCat"/>
        <c:dispUnits/>
        <c:majorUnit val="0.2"/>
      </c:valAx>
      <c:valAx>
        <c:axId val="22031554"/>
        <c:scaling>
          <c:logBase val="10"/>
          <c:orientation val="minMax"/>
        </c:scaling>
        <c:axPos val="b"/>
        <c:delete val="1"/>
        <c:majorTickMark val="in"/>
        <c:minorTickMark val="none"/>
        <c:tickLblPos val="nextTo"/>
        <c:crossAx val="64066259"/>
        <c:crosses val="max"/>
        <c:crossBetween val="midCat"/>
        <c:dispUnits/>
      </c:valAx>
      <c:valAx>
        <c:axId val="64066259"/>
        <c:scaling>
          <c:logBase val="10"/>
          <c:orientation val="minMax"/>
          <c:max val="10000"/>
          <c:min val="1E-16"/>
        </c:scaling>
        <c:axPos val="l"/>
        <c:title>
          <c:tx>
            <c:rich>
              <a:bodyPr vert="horz" rot="-5400000" anchor="ctr"/>
              <a:lstStyle/>
              <a:p>
                <a:pPr algn="ctr">
                  <a:defRPr/>
                </a:pPr>
                <a:r>
                  <a:rPr lang="en-US" cap="none" sz="1150" b="0" i="0" u="none" baseline="0"/>
                  <a:t>K (cm/day)</a:t>
                </a:r>
              </a:p>
            </c:rich>
          </c:tx>
          <c:layout>
            <c:manualLayout>
              <c:xMode val="factor"/>
              <c:yMode val="factor"/>
              <c:x val="0"/>
              <c:y val="0"/>
            </c:manualLayout>
          </c:layout>
          <c:overlay val="0"/>
          <c:spPr>
            <a:noFill/>
            <a:ln>
              <a:noFill/>
            </a:ln>
          </c:spPr>
        </c:title>
        <c:delete val="0"/>
        <c:numFmt formatCode="0.E+00" sourceLinked="0"/>
        <c:majorTickMark val="in"/>
        <c:minorTickMark val="none"/>
        <c:tickLblPos val="nextTo"/>
        <c:crossAx val="22031554"/>
        <c:crosses val="max"/>
        <c:crossBetween val="midCat"/>
        <c:dispUnits/>
        <c:majorUnit val="10000"/>
      </c:valAx>
      <c:spPr>
        <a:solidFill>
          <a:srgbClr val="FFFFFF"/>
        </a:solidFill>
        <a:ln w="12700">
          <a:solidFill>
            <a:srgbClr val="808080"/>
          </a:solidFill>
        </a:ln>
      </c:spPr>
    </c:plotArea>
    <c:legend>
      <c:legendPos val="r"/>
      <c:legendEntry>
        <c:idx val="0"/>
        <c:txPr>
          <a:bodyPr vert="horz" rot="0"/>
          <a:lstStyle/>
          <a:p>
            <a:pPr>
              <a:defRPr lang="en-US" cap="none" sz="1150" b="0" i="1" u="none" baseline="0"/>
            </a:pPr>
          </a:p>
        </c:txPr>
      </c:legendEntry>
      <c:layout>
        <c:manualLayout>
          <c:xMode val="edge"/>
          <c:yMode val="edge"/>
          <c:x val="0.1895"/>
          <c:y val="0.66775"/>
        </c:manualLayout>
      </c:layout>
      <c:overlay val="0"/>
      <c:spPr>
        <a:noFill/>
        <a:ln w="3175">
          <a:noFill/>
        </a:ln>
      </c:spPr>
      <c:txPr>
        <a:bodyPr vert="horz" rot="0"/>
        <a:lstStyle/>
        <a:p>
          <a:pPr>
            <a:defRPr lang="en-US" cap="none" sz="1150" b="0" i="1" u="none" baseline="0"/>
          </a:pPr>
        </a:p>
      </c:txPr>
    </c:legend>
    <c:plotVisOnly val="1"/>
    <c:dispBlanksAs val="gap"/>
    <c:showDLblsOverMax val="0"/>
  </c:chart>
  <c:spPr>
    <a:ln w="3175">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
          <c:w val="0.92075"/>
          <c:h val="0.95"/>
        </c:manualLayout>
      </c:layout>
      <c:scatterChart>
        <c:scatterStyle val="smooth"/>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'tortuosity by fitting'!$L$16:$L$70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'tortuosity by fitting'!$U$16:$U$70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1"/>
        </c:ser>
        <c:axId val="40292156"/>
        <c:axId val="27085085"/>
      </c:scatterChart>
      <c:valAx>
        <c:axId val="40292156"/>
        <c:scaling>
          <c:orientation val="minMax"/>
          <c:max val="0.6"/>
          <c:min val="0"/>
        </c:scaling>
        <c:axPos val="b"/>
        <c:title>
          <c:tx>
            <c:rich>
              <a:bodyPr vert="horz" rot="0" anchor="ctr"/>
              <a:lstStyle/>
              <a:p>
                <a:pPr algn="ctr">
                  <a:defRPr/>
                </a:pPr>
                <a:r>
                  <a:rPr lang="en-US" cap="none" sz="1150" b="0" i="1" u="none" baseline="0"/>
                  <a:t>q</a:t>
                </a:r>
              </a:p>
            </c:rich>
          </c:tx>
          <c:layout/>
          <c:overlay val="0"/>
          <c:spPr>
            <a:noFill/>
            <a:ln>
              <a:noFill/>
            </a:ln>
          </c:spPr>
        </c:title>
        <c:delete val="0"/>
        <c:numFmt formatCode="General" sourceLinked="1"/>
        <c:majorTickMark val="in"/>
        <c:minorTickMark val="none"/>
        <c:tickLblPos val="nextTo"/>
        <c:crossAx val="27085085"/>
        <c:crosses val="autoZero"/>
        <c:crossBetween val="midCat"/>
        <c:dispUnits/>
      </c:valAx>
      <c:valAx>
        <c:axId val="27085085"/>
        <c:scaling>
          <c:orientation val="minMax"/>
        </c:scaling>
        <c:axPos val="l"/>
        <c:title>
          <c:tx>
            <c:rich>
              <a:bodyPr vert="horz" rot="-5400000" anchor="ctr"/>
              <a:lstStyle/>
              <a:p>
                <a:pPr algn="ctr">
                  <a:defRPr/>
                </a:pPr>
                <a:r>
                  <a:rPr lang="en-US" cap="none" sz="1150" b="0" i="1" u="none" baseline="0"/>
                  <a:t>t</a:t>
                </a:r>
              </a:p>
            </c:rich>
          </c:tx>
          <c:layout/>
          <c:overlay val="0"/>
          <c:spPr>
            <a:noFill/>
            <a:ln>
              <a:noFill/>
            </a:ln>
          </c:spPr>
        </c:title>
        <c:delete val="0"/>
        <c:numFmt formatCode="General" sourceLinked="0"/>
        <c:majorTickMark val="in"/>
        <c:minorTickMark val="none"/>
        <c:tickLblPos val="nextTo"/>
        <c:crossAx val="40292156"/>
        <c:crosses val="autoZero"/>
        <c:crossBetween val="midCat"/>
        <c:dispUnits/>
        <c:majorUnit val="0.02"/>
      </c:valAx>
      <c:spPr>
        <a:no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 0.01'!$E$41:$E$95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'delta theta = 0.01'!$F$41:$F$95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1"/>
        </c:ser>
        <c:axId val="39725420"/>
        <c:axId val="21984461"/>
      </c:scatterChart>
      <c:valAx>
        <c:axId val="39725420"/>
        <c:scaling>
          <c:orientation val="minMax"/>
          <c:min val="0"/>
        </c:scaling>
        <c:axPos val="b"/>
        <c:title>
          <c:tx>
            <c:rich>
              <a:bodyPr vert="horz" rot="0" anchor="ctr"/>
              <a:lstStyle/>
              <a:p>
                <a:pPr algn="ctr">
                  <a:defRPr/>
                </a:pPr>
                <a:r>
                  <a:rPr lang="en-US" cap="none" sz="1175" b="0" i="0" u="none" baseline="0"/>
                  <a:t>Radius of capillary tubes (cm) </a:t>
                </a:r>
              </a:p>
            </c:rich>
          </c:tx>
          <c:layout/>
          <c:overlay val="0"/>
          <c:spPr>
            <a:noFill/>
            <a:ln>
              <a:noFill/>
            </a:ln>
          </c:spPr>
        </c:title>
        <c:delete val="0"/>
        <c:numFmt formatCode="General" sourceLinked="1"/>
        <c:majorTickMark val="in"/>
        <c:minorTickMark val="none"/>
        <c:tickLblPos val="nextTo"/>
        <c:crossAx val="21984461"/>
        <c:crosses val="autoZero"/>
        <c:crossBetween val="midCat"/>
        <c:dispUnits/>
      </c:valAx>
      <c:valAx>
        <c:axId val="21984461"/>
        <c:scaling>
          <c:logBase val="10"/>
          <c:orientation val="minMax"/>
        </c:scaling>
        <c:axPos val="l"/>
        <c:title>
          <c:tx>
            <c:rich>
              <a:bodyPr vert="horz" rot="-5400000" anchor="ctr"/>
              <a:lstStyle/>
              <a:p>
                <a:pPr algn="ctr">
                  <a:defRPr/>
                </a:pPr>
                <a:r>
                  <a:rPr lang="en-US" cap="none" sz="1175" b="0" i="0" u="none" baseline="0"/>
                  <a:t>Number of tubes </a:t>
                </a:r>
              </a:p>
            </c:rich>
          </c:tx>
          <c:layout/>
          <c:overlay val="0"/>
          <c:spPr>
            <a:noFill/>
            <a:ln>
              <a:noFill/>
            </a:ln>
          </c:spPr>
        </c:title>
        <c:delete val="0"/>
        <c:numFmt formatCode="0.E+00" sourceLinked="0"/>
        <c:majorTickMark val="in"/>
        <c:minorTickMark val="none"/>
        <c:tickLblPos val="nextTo"/>
        <c:crossAx val="39725420"/>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6"/>
          <c:w val="0.845"/>
          <c:h val="0.8882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 0.01'!$D$41:$D$94</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'delta theta = 0.01'!$I$41:$I$94</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63642422"/>
        <c:axId val="35910887"/>
      </c:scatterChart>
      <c:valAx>
        <c:axId val="63642422"/>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35910887"/>
        <c:crossesAt val="1E-06"/>
        <c:crossBetween val="midCat"/>
        <c:dispUnits/>
        <c:majorUnit val="10"/>
      </c:valAx>
      <c:valAx>
        <c:axId val="35910887"/>
        <c:scaling>
          <c:logBase val="10"/>
          <c:orientation val="minMax"/>
          <c:min val="1E-06"/>
        </c:scaling>
        <c:axPos val="l"/>
        <c:title>
          <c:tx>
            <c:rich>
              <a:bodyPr vert="horz" rot="-5400000" anchor="ctr"/>
              <a:lstStyle/>
              <a:p>
                <a:pPr algn="ctr">
                  <a:defRPr/>
                </a:pPr>
                <a:r>
                  <a:rPr lang="en-US" cap="none" sz="1175" b="0" i="0" u="none" baseline="0"/>
                  <a:t>K (cm/day)</a:t>
                </a:r>
              </a:p>
            </c:rich>
          </c:tx>
          <c:layout/>
          <c:overlay val="0"/>
          <c:spPr>
            <a:noFill/>
            <a:ln>
              <a:noFill/>
            </a:ln>
          </c:spPr>
        </c:title>
        <c:delete val="0"/>
        <c:numFmt formatCode="0.E+00" sourceLinked="0"/>
        <c:majorTickMark val="in"/>
        <c:minorTickMark val="none"/>
        <c:tickLblPos val="nextTo"/>
        <c:crossAx val="63642422"/>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5795"/>
          <c:y val="0.11775"/>
        </c:manualLayout>
      </c:layout>
      <c:overlay val="0"/>
      <c:spPr>
        <a:noFill/>
        <a:ln w="3175">
          <a:noFill/>
        </a:ln>
      </c:sp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 0.05'!$E$41:$E$51</c:f>
              <c:numCache>
                <c:ptCount val="11"/>
                <c:pt idx="0">
                  <c:v>0</c:v>
                </c:pt>
                <c:pt idx="1">
                  <c:v>0</c:v>
                </c:pt>
                <c:pt idx="2">
                  <c:v>0</c:v>
                </c:pt>
                <c:pt idx="3">
                  <c:v>0</c:v>
                </c:pt>
                <c:pt idx="4">
                  <c:v>0</c:v>
                </c:pt>
                <c:pt idx="5">
                  <c:v>0</c:v>
                </c:pt>
                <c:pt idx="6">
                  <c:v>0</c:v>
                </c:pt>
                <c:pt idx="7">
                  <c:v>0</c:v>
                </c:pt>
                <c:pt idx="8">
                  <c:v>0</c:v>
                </c:pt>
                <c:pt idx="9">
                  <c:v>0</c:v>
                </c:pt>
                <c:pt idx="10">
                  <c:v>0</c:v>
                </c:pt>
              </c:numCache>
            </c:numRef>
          </c:xVal>
          <c:yVal>
            <c:numRef>
              <c:f>'delta theta = 0.05'!$F$41:$F$51</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4762528"/>
        <c:axId val="23100705"/>
      </c:scatterChart>
      <c:valAx>
        <c:axId val="54762528"/>
        <c:scaling>
          <c:orientation val="minMax"/>
          <c:min val="0"/>
        </c:scaling>
        <c:axPos val="b"/>
        <c:title>
          <c:tx>
            <c:rich>
              <a:bodyPr vert="horz" rot="0" anchor="ctr"/>
              <a:lstStyle/>
              <a:p>
                <a:pPr algn="ctr">
                  <a:defRPr/>
                </a:pPr>
                <a:r>
                  <a:rPr lang="en-US" cap="none" sz="1125" b="0" i="0" u="none" baseline="0"/>
                  <a:t>Radius of capillary tubes (cm) </a:t>
                </a:r>
              </a:p>
            </c:rich>
          </c:tx>
          <c:layout/>
          <c:overlay val="0"/>
          <c:spPr>
            <a:noFill/>
            <a:ln>
              <a:noFill/>
            </a:ln>
          </c:spPr>
        </c:title>
        <c:delete val="0"/>
        <c:numFmt formatCode="General" sourceLinked="1"/>
        <c:majorTickMark val="in"/>
        <c:minorTickMark val="none"/>
        <c:tickLblPos val="nextTo"/>
        <c:crossAx val="23100705"/>
        <c:crosses val="autoZero"/>
        <c:crossBetween val="midCat"/>
        <c:dispUnits/>
      </c:valAx>
      <c:valAx>
        <c:axId val="23100705"/>
        <c:scaling>
          <c:logBase val="10"/>
          <c:orientation val="minMax"/>
        </c:scaling>
        <c:axPos val="l"/>
        <c:title>
          <c:tx>
            <c:rich>
              <a:bodyPr vert="horz" rot="-5400000" anchor="ctr"/>
              <a:lstStyle/>
              <a:p>
                <a:pPr algn="ctr">
                  <a:defRPr/>
                </a:pPr>
                <a:r>
                  <a:rPr lang="en-US" cap="none" sz="1125" b="0" i="0" u="none" baseline="0"/>
                  <a:t>Number of tubes </a:t>
                </a:r>
              </a:p>
            </c:rich>
          </c:tx>
          <c:layout/>
          <c:overlay val="0"/>
          <c:spPr>
            <a:noFill/>
            <a:ln>
              <a:noFill/>
            </a:ln>
          </c:spPr>
        </c:title>
        <c:delete val="0"/>
        <c:numFmt formatCode="0.E+00" sourceLinked="0"/>
        <c:majorTickMark val="in"/>
        <c:minorTickMark val="none"/>
        <c:tickLblPos val="nextTo"/>
        <c:crossAx val="54762528"/>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55"/>
          <c:w val="0.845"/>
          <c:h val="0.889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 0.05'!$D$41:$D$50</c:f>
              <c:numCache>
                <c:ptCount val="10"/>
                <c:pt idx="0">
                  <c:v>0</c:v>
                </c:pt>
                <c:pt idx="1">
                  <c:v>0</c:v>
                </c:pt>
                <c:pt idx="2">
                  <c:v>0</c:v>
                </c:pt>
                <c:pt idx="3">
                  <c:v>0</c:v>
                </c:pt>
                <c:pt idx="4">
                  <c:v>0</c:v>
                </c:pt>
                <c:pt idx="5">
                  <c:v>0</c:v>
                </c:pt>
                <c:pt idx="6">
                  <c:v>0</c:v>
                </c:pt>
                <c:pt idx="7">
                  <c:v>0</c:v>
                </c:pt>
                <c:pt idx="8">
                  <c:v>0</c:v>
                </c:pt>
                <c:pt idx="9">
                  <c:v>0</c:v>
                </c:pt>
              </c:numCache>
            </c:numRef>
          </c:xVal>
          <c:yVal>
            <c:numRef>
              <c:f>'delta theta = 0.05'!$I$41:$I$50</c:f>
              <c:numCache>
                <c:ptCount val="10"/>
                <c:pt idx="0">
                  <c:v>0</c:v>
                </c:pt>
                <c:pt idx="1">
                  <c:v>0</c:v>
                </c:pt>
                <c:pt idx="2">
                  <c:v>0</c:v>
                </c:pt>
                <c:pt idx="3">
                  <c:v>0</c:v>
                </c:pt>
                <c:pt idx="4">
                  <c:v>0</c:v>
                </c:pt>
                <c:pt idx="5">
                  <c:v>0</c:v>
                </c:pt>
                <c:pt idx="6">
                  <c:v>0</c:v>
                </c:pt>
                <c:pt idx="7">
                  <c:v>0</c:v>
                </c:pt>
                <c:pt idx="8">
                  <c:v>0</c:v>
                </c:pt>
                <c:pt idx="9">
                  <c:v>0</c:v>
                </c:pt>
              </c:numCache>
            </c:numRef>
          </c:yVal>
          <c:smooth val="0"/>
        </c:ser>
        <c:axId val="6579754"/>
        <c:axId val="59217787"/>
      </c:scatterChart>
      <c:valAx>
        <c:axId val="6579754"/>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59217787"/>
        <c:crossesAt val="1E-06"/>
        <c:crossBetween val="midCat"/>
        <c:dispUnits/>
        <c:majorUnit val="10"/>
      </c:valAx>
      <c:valAx>
        <c:axId val="59217787"/>
        <c:scaling>
          <c:logBase val="10"/>
          <c:orientation val="minMax"/>
          <c:min val="1E-06"/>
        </c:scaling>
        <c:axPos val="l"/>
        <c:title>
          <c:tx>
            <c:rich>
              <a:bodyPr vert="horz" rot="-5400000" anchor="ctr"/>
              <a:lstStyle/>
              <a:p>
                <a:pPr algn="ctr">
                  <a:defRPr/>
                </a:pPr>
                <a:r>
                  <a:rPr lang="en-US" cap="none" sz="1175" b="0" i="0" u="none" baseline="0"/>
                  <a:t>K (cm/day)</a:t>
                </a:r>
              </a:p>
            </c:rich>
          </c:tx>
          <c:layout/>
          <c:overlay val="0"/>
          <c:spPr>
            <a:noFill/>
            <a:ln>
              <a:noFill/>
            </a:ln>
          </c:spPr>
        </c:title>
        <c:delete val="0"/>
        <c:numFmt formatCode="0.E+00" sourceLinked="0"/>
        <c:majorTickMark val="in"/>
        <c:minorTickMark val="none"/>
        <c:tickLblPos val="nextTo"/>
        <c:crossAx val="6579754"/>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5795"/>
          <c:y val="0.11675"/>
        </c:manualLayout>
      </c:layout>
      <c:overlay val="0"/>
      <c:spPr>
        <a:noFill/>
        <a:ln w="3175">
          <a:noFill/>
        </a:ln>
      </c:sp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=0.1'!$E$40:$E$45</c:f>
              <c:numCache>
                <c:ptCount val="6"/>
                <c:pt idx="0">
                  <c:v>0</c:v>
                </c:pt>
                <c:pt idx="1">
                  <c:v>0</c:v>
                </c:pt>
                <c:pt idx="2">
                  <c:v>0</c:v>
                </c:pt>
                <c:pt idx="3">
                  <c:v>0</c:v>
                </c:pt>
                <c:pt idx="4">
                  <c:v>0</c:v>
                </c:pt>
                <c:pt idx="5">
                  <c:v>0</c:v>
                </c:pt>
              </c:numCache>
            </c:numRef>
          </c:xVal>
          <c:yVal>
            <c:numRef>
              <c:f>'delta theta =0.1'!$F$40:$F$45</c:f>
              <c:numCache>
                <c:ptCount val="6"/>
                <c:pt idx="0">
                  <c:v>0</c:v>
                </c:pt>
                <c:pt idx="1">
                  <c:v>0</c:v>
                </c:pt>
                <c:pt idx="2">
                  <c:v>0</c:v>
                </c:pt>
                <c:pt idx="3">
                  <c:v>0</c:v>
                </c:pt>
                <c:pt idx="4">
                  <c:v>0</c:v>
                </c:pt>
                <c:pt idx="5">
                  <c:v>0</c:v>
                </c:pt>
              </c:numCache>
            </c:numRef>
          </c:yVal>
          <c:smooth val="1"/>
        </c:ser>
        <c:axId val="63198036"/>
        <c:axId val="31911413"/>
      </c:scatterChart>
      <c:valAx>
        <c:axId val="63198036"/>
        <c:scaling>
          <c:orientation val="minMax"/>
          <c:min val="0"/>
        </c:scaling>
        <c:axPos val="b"/>
        <c:title>
          <c:tx>
            <c:rich>
              <a:bodyPr vert="horz" rot="0" anchor="ctr"/>
              <a:lstStyle/>
              <a:p>
                <a:pPr algn="ctr">
                  <a:defRPr/>
                </a:pPr>
                <a:r>
                  <a:rPr lang="en-US" cap="none" sz="1200" b="0" i="0" u="none" baseline="0"/>
                  <a:t>Radius of capillary tubes (cm) </a:t>
                </a:r>
              </a:p>
            </c:rich>
          </c:tx>
          <c:layout/>
          <c:overlay val="0"/>
          <c:spPr>
            <a:noFill/>
            <a:ln>
              <a:noFill/>
            </a:ln>
          </c:spPr>
        </c:title>
        <c:delete val="0"/>
        <c:numFmt formatCode="General" sourceLinked="1"/>
        <c:majorTickMark val="in"/>
        <c:minorTickMark val="none"/>
        <c:tickLblPos val="nextTo"/>
        <c:crossAx val="31911413"/>
        <c:crosses val="autoZero"/>
        <c:crossBetween val="midCat"/>
        <c:dispUnits/>
      </c:valAx>
      <c:valAx>
        <c:axId val="31911413"/>
        <c:scaling>
          <c:logBase val="10"/>
          <c:orientation val="minMax"/>
          <c:max val="1000000000000"/>
        </c:scaling>
        <c:axPos val="l"/>
        <c:title>
          <c:tx>
            <c:rich>
              <a:bodyPr vert="horz" rot="-5400000" anchor="ctr"/>
              <a:lstStyle/>
              <a:p>
                <a:pPr algn="ctr">
                  <a:defRPr/>
                </a:pPr>
                <a:r>
                  <a:rPr lang="en-US" cap="none" sz="1200" b="0" i="0" u="none" baseline="0"/>
                  <a:t>Number of tubes </a:t>
                </a:r>
              </a:p>
            </c:rich>
          </c:tx>
          <c:layout/>
          <c:overlay val="0"/>
          <c:spPr>
            <a:noFill/>
            <a:ln>
              <a:noFill/>
            </a:ln>
          </c:spPr>
        </c:title>
        <c:delete val="0"/>
        <c:numFmt formatCode="0.E+00" sourceLinked="0"/>
        <c:majorTickMark val="in"/>
        <c:minorTickMark val="none"/>
        <c:tickLblPos val="nextTo"/>
        <c:crossAx val="63198036"/>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4"/>
          <c:w val="0.845"/>
          <c:h val="0.8957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=0.1'!$D$41:$D$44</c:f>
              <c:numCache>
                <c:ptCount val="4"/>
                <c:pt idx="0">
                  <c:v>0</c:v>
                </c:pt>
                <c:pt idx="1">
                  <c:v>0</c:v>
                </c:pt>
                <c:pt idx="2">
                  <c:v>0</c:v>
                </c:pt>
                <c:pt idx="3">
                  <c:v>0</c:v>
                </c:pt>
              </c:numCache>
            </c:numRef>
          </c:xVal>
          <c:yVal>
            <c:numRef>
              <c:f>'delta theta =0.1'!$I$41:$I$44</c:f>
              <c:numCache>
                <c:ptCount val="4"/>
                <c:pt idx="0">
                  <c:v>0</c:v>
                </c:pt>
                <c:pt idx="1">
                  <c:v>0</c:v>
                </c:pt>
                <c:pt idx="2">
                  <c:v>0</c:v>
                </c:pt>
                <c:pt idx="3">
                  <c:v>0</c:v>
                </c:pt>
              </c:numCache>
            </c:numRef>
          </c:yVal>
          <c:smooth val="0"/>
        </c:ser>
        <c:axId val="18767262"/>
        <c:axId val="34687631"/>
      </c:scatterChart>
      <c:valAx>
        <c:axId val="18767262"/>
        <c:scaling>
          <c:logBase val="10"/>
          <c:orientation val="minMax"/>
          <c:max val="1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34687631"/>
        <c:crossesAt val="1E-06"/>
        <c:crossBetween val="midCat"/>
        <c:dispUnits/>
      </c:valAx>
      <c:valAx>
        <c:axId val="34687631"/>
        <c:scaling>
          <c:logBase val="10"/>
          <c:orientation val="minMax"/>
          <c:min val="1E-06"/>
        </c:scaling>
        <c:axPos val="l"/>
        <c:title>
          <c:tx>
            <c:rich>
              <a:bodyPr vert="horz" rot="-5400000" anchor="ctr"/>
              <a:lstStyle/>
              <a:p>
                <a:pPr algn="ctr">
                  <a:defRPr/>
                </a:pPr>
                <a:r>
                  <a:rPr lang="en-US" cap="none" sz="1200" b="0" i="0" u="none" baseline="0"/>
                  <a:t>K (cm/day)</a:t>
                </a:r>
              </a:p>
            </c:rich>
          </c:tx>
          <c:layout/>
          <c:overlay val="0"/>
          <c:spPr>
            <a:noFill/>
            <a:ln>
              <a:noFill/>
            </a:ln>
          </c:spPr>
        </c:title>
        <c:delete val="0"/>
        <c:numFmt formatCode="0.E+00" sourceLinked="0"/>
        <c:majorTickMark val="in"/>
        <c:minorTickMark val="none"/>
        <c:tickLblPos val="nextTo"/>
        <c:crossAx val="18767262"/>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25"/>
          <c:y val="0.65575"/>
        </c:manualLayout>
      </c:layout>
      <c:overlay val="0"/>
      <c:spPr>
        <a:noFill/>
        <a:ln w="3175">
          <a:noFill/>
        </a:ln>
      </c:sp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2425"/>
          <c:w val="0.84475"/>
          <c:h val="0.8952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'Millington &amp; Quirk'!$D$43:$D$96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'Millington &amp; Quirk'!$J$43:$J$96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43753224"/>
        <c:axId val="58234697"/>
      </c:scatterChart>
      <c:valAx>
        <c:axId val="43753224"/>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58234697"/>
        <c:crossesAt val="1E-06"/>
        <c:crossBetween val="midCat"/>
        <c:dispUnits/>
        <c:majorUnit val="10"/>
      </c:valAx>
      <c:valAx>
        <c:axId val="58234697"/>
        <c:scaling>
          <c:logBase val="10"/>
          <c:orientation val="minMax"/>
          <c:min val="1E-06"/>
        </c:scaling>
        <c:axPos val="l"/>
        <c:title>
          <c:tx>
            <c:rich>
              <a:bodyPr vert="horz" rot="-5400000" anchor="ctr"/>
              <a:lstStyle/>
              <a:p>
                <a:pPr algn="ctr">
                  <a:defRPr/>
                </a:pPr>
                <a:r>
                  <a:rPr lang="en-US" cap="none" sz="1200" b="0" i="0" u="none" baseline="0"/>
                  <a:t>K (cm/day)</a:t>
                </a:r>
              </a:p>
            </c:rich>
          </c:tx>
          <c:layout/>
          <c:overlay val="0"/>
          <c:spPr>
            <a:noFill/>
            <a:ln>
              <a:noFill/>
            </a:ln>
          </c:spPr>
        </c:title>
        <c:delete val="0"/>
        <c:numFmt formatCode="0.E+00" sourceLinked="0"/>
        <c:majorTickMark val="in"/>
        <c:minorTickMark val="none"/>
        <c:tickLblPos val="nextTo"/>
        <c:crossAx val="43753224"/>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62675"/>
          <c:y val="0.101"/>
        </c:manualLayout>
      </c:layout>
      <c:overlay val="0"/>
      <c:spPr>
        <a:noFill/>
        <a:ln w="3175">
          <a:noFill/>
        </a:ln>
      </c:sp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
          <c:w val="0.8955"/>
          <c:h val="0.928"/>
        </c:manualLayout>
      </c:layout>
      <c:scatterChart>
        <c:scatterStyle val="smooth"/>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'Millington &amp; Quirk'!$C$42:$C$97</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xVal>
          <c:yVal>
            <c:numRef>
              <c:f>'Millington &amp; Quirk'!$I$42:$I$97</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mooth val="1"/>
        </c:ser>
        <c:axId val="54350226"/>
        <c:axId val="19389987"/>
      </c:scatterChart>
      <c:valAx>
        <c:axId val="54350226"/>
        <c:scaling>
          <c:orientation val="minMax"/>
          <c:min val="0"/>
        </c:scaling>
        <c:axPos val="b"/>
        <c:title>
          <c:tx>
            <c:rich>
              <a:bodyPr vert="horz" rot="0" anchor="ctr"/>
              <a:lstStyle/>
              <a:p>
                <a:pPr algn="ctr">
                  <a:defRPr/>
                </a:pPr>
                <a:r>
                  <a:rPr lang="en-US" cap="none" sz="975" b="0" i="1" u="none" baseline="0"/>
                  <a:t>q</a:t>
                </a:r>
              </a:p>
            </c:rich>
          </c:tx>
          <c:layout/>
          <c:overlay val="0"/>
          <c:spPr>
            <a:noFill/>
            <a:ln>
              <a:noFill/>
            </a:ln>
          </c:spPr>
        </c:title>
        <c:delete val="0"/>
        <c:numFmt formatCode="General" sourceLinked="1"/>
        <c:majorTickMark val="in"/>
        <c:minorTickMark val="none"/>
        <c:tickLblPos val="nextTo"/>
        <c:crossAx val="19389987"/>
        <c:crosses val="autoZero"/>
        <c:crossBetween val="midCat"/>
        <c:dispUnits/>
      </c:valAx>
      <c:valAx>
        <c:axId val="19389987"/>
        <c:scaling>
          <c:orientation val="minMax"/>
          <c:max val="1"/>
        </c:scaling>
        <c:axPos val="l"/>
        <c:title>
          <c:tx>
            <c:rich>
              <a:bodyPr vert="horz" rot="-5400000" anchor="ctr"/>
              <a:lstStyle/>
              <a:p>
                <a:pPr algn="ctr">
                  <a:defRPr/>
                </a:pPr>
                <a:r>
                  <a:rPr lang="en-US" cap="none" sz="975" b="0" i="1" u="none" baseline="0"/>
                  <a:t>t</a:t>
                </a:r>
              </a:p>
            </c:rich>
          </c:tx>
          <c:layout/>
          <c:overlay val="0"/>
          <c:spPr>
            <a:noFill/>
            <a:ln>
              <a:noFill/>
            </a:ln>
          </c:spPr>
        </c:title>
        <c:delete val="0"/>
        <c:numFmt formatCode="General" sourceLinked="0"/>
        <c:majorTickMark val="in"/>
        <c:minorTickMark val="none"/>
        <c:tickLblPos val="nextTo"/>
        <c:crossAx val="54350226"/>
        <c:crosses val="autoZero"/>
        <c:crossBetween val="midCat"/>
        <c:dispUnits/>
        <c:majorUnit val="0.2"/>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19</xdr:row>
      <xdr:rowOff>66675</xdr:rowOff>
    </xdr:from>
    <xdr:to>
      <xdr:col>3</xdr:col>
      <xdr:colOff>666750</xdr:colOff>
      <xdr:row>23</xdr:row>
      <xdr:rowOff>95250</xdr:rowOff>
    </xdr:to>
    <xdr:pic>
      <xdr:nvPicPr>
        <xdr:cNvPr id="1" name="Picture 2"/>
        <xdr:cNvPicPr preferRelativeResize="1">
          <a:picLocks noChangeAspect="1"/>
        </xdr:cNvPicPr>
      </xdr:nvPicPr>
      <xdr:blipFill>
        <a:blip r:embed="rId1"/>
        <a:stretch>
          <a:fillRect/>
        </a:stretch>
      </xdr:blipFill>
      <xdr:spPr>
        <a:xfrm>
          <a:off x="714375" y="3543300"/>
          <a:ext cx="20097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152400</xdr:rowOff>
    </xdr:from>
    <xdr:to>
      <xdr:col>6</xdr:col>
      <xdr:colOff>466725</xdr:colOff>
      <xdr:row>30</xdr:row>
      <xdr:rowOff>133350</xdr:rowOff>
    </xdr:to>
    <xdr:graphicFrame>
      <xdr:nvGraphicFramePr>
        <xdr:cNvPr id="1" name="Chart 1"/>
        <xdr:cNvGraphicFramePr/>
      </xdr:nvGraphicFramePr>
      <xdr:xfrm>
        <a:off x="28575" y="1828800"/>
        <a:ext cx="4648200" cy="3781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1</xdr:row>
      <xdr:rowOff>66675</xdr:rowOff>
    </xdr:from>
    <xdr:to>
      <xdr:col>2</xdr:col>
      <xdr:colOff>9525</xdr:colOff>
      <xdr:row>5</xdr:row>
      <xdr:rowOff>76200</xdr:rowOff>
    </xdr:to>
    <xdr:pic>
      <xdr:nvPicPr>
        <xdr:cNvPr id="2" name="Picture 12"/>
        <xdr:cNvPicPr preferRelativeResize="1">
          <a:picLocks noChangeAspect="1"/>
        </xdr:cNvPicPr>
      </xdr:nvPicPr>
      <xdr:blipFill>
        <a:blip r:embed="rId2"/>
        <a:stretch>
          <a:fillRect/>
        </a:stretch>
      </xdr:blipFill>
      <xdr:spPr>
        <a:xfrm>
          <a:off x="152400" y="295275"/>
          <a:ext cx="1295400" cy="733425"/>
        </a:xfrm>
        <a:prstGeom prst="rect">
          <a:avLst/>
        </a:prstGeom>
        <a:noFill/>
        <a:ln w="9525" cmpd="sng">
          <a:noFill/>
        </a:ln>
      </xdr:spPr>
    </xdr:pic>
    <xdr:clientData/>
  </xdr:twoCellAnchor>
  <xdr:twoCellAnchor editAs="oneCell">
    <xdr:from>
      <xdr:col>2</xdr:col>
      <xdr:colOff>209550</xdr:colOff>
      <xdr:row>1</xdr:row>
      <xdr:rowOff>133350</xdr:rowOff>
    </xdr:from>
    <xdr:to>
      <xdr:col>4</xdr:col>
      <xdr:colOff>581025</xdr:colOff>
      <xdr:row>5</xdr:row>
      <xdr:rowOff>9525</xdr:rowOff>
    </xdr:to>
    <xdr:pic>
      <xdr:nvPicPr>
        <xdr:cNvPr id="3" name="Picture 13"/>
        <xdr:cNvPicPr preferRelativeResize="1">
          <a:picLocks noChangeAspect="1"/>
        </xdr:cNvPicPr>
      </xdr:nvPicPr>
      <xdr:blipFill>
        <a:blip r:embed="rId3"/>
        <a:stretch>
          <a:fillRect/>
        </a:stretch>
      </xdr:blipFill>
      <xdr:spPr>
        <a:xfrm>
          <a:off x="1647825" y="361950"/>
          <a:ext cx="1743075" cy="600075"/>
        </a:xfrm>
        <a:prstGeom prst="rect">
          <a:avLst/>
        </a:prstGeom>
        <a:noFill/>
        <a:ln w="9525" cmpd="sng">
          <a:noFill/>
        </a:ln>
      </xdr:spPr>
    </xdr:pic>
    <xdr:clientData/>
  </xdr:twoCellAnchor>
  <xdr:twoCellAnchor editAs="oneCell">
    <xdr:from>
      <xdr:col>0</xdr:col>
      <xdr:colOff>152400</xdr:colOff>
      <xdr:row>5</xdr:row>
      <xdr:rowOff>0</xdr:rowOff>
    </xdr:from>
    <xdr:to>
      <xdr:col>4</xdr:col>
      <xdr:colOff>438150</xdr:colOff>
      <xdr:row>8</xdr:row>
      <xdr:rowOff>123825</xdr:rowOff>
    </xdr:to>
    <xdr:pic>
      <xdr:nvPicPr>
        <xdr:cNvPr id="4" name="Picture 14"/>
        <xdr:cNvPicPr preferRelativeResize="1">
          <a:picLocks noChangeAspect="1"/>
        </xdr:cNvPicPr>
      </xdr:nvPicPr>
      <xdr:blipFill>
        <a:blip r:embed="rId4"/>
        <a:stretch>
          <a:fillRect/>
        </a:stretch>
      </xdr:blipFill>
      <xdr:spPr>
        <a:xfrm>
          <a:off x="152400" y="952500"/>
          <a:ext cx="30956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9525</xdr:rowOff>
    </xdr:from>
    <xdr:to>
      <xdr:col>6</xdr:col>
      <xdr:colOff>228600</xdr:colOff>
      <xdr:row>35</xdr:row>
      <xdr:rowOff>76200</xdr:rowOff>
    </xdr:to>
    <xdr:graphicFrame>
      <xdr:nvGraphicFramePr>
        <xdr:cNvPr id="1" name="Chart 4"/>
        <xdr:cNvGraphicFramePr/>
      </xdr:nvGraphicFramePr>
      <xdr:xfrm>
        <a:off x="9525" y="2590800"/>
        <a:ext cx="4429125" cy="3867150"/>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14</xdr:row>
      <xdr:rowOff>9525</xdr:rowOff>
    </xdr:from>
    <xdr:to>
      <xdr:col>12</xdr:col>
      <xdr:colOff>581025</xdr:colOff>
      <xdr:row>35</xdr:row>
      <xdr:rowOff>38100</xdr:rowOff>
    </xdr:to>
    <xdr:graphicFrame>
      <xdr:nvGraphicFramePr>
        <xdr:cNvPr id="2" name="Chart 5"/>
        <xdr:cNvGraphicFramePr/>
      </xdr:nvGraphicFramePr>
      <xdr:xfrm>
        <a:off x="4352925" y="2590800"/>
        <a:ext cx="4552950" cy="382905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266700</xdr:colOff>
      <xdr:row>1</xdr:row>
      <xdr:rowOff>76200</xdr:rowOff>
    </xdr:from>
    <xdr:to>
      <xdr:col>4</xdr:col>
      <xdr:colOff>180975</xdr:colOff>
      <xdr:row>13</xdr:row>
      <xdr:rowOff>95250</xdr:rowOff>
    </xdr:to>
    <xdr:grpSp>
      <xdr:nvGrpSpPr>
        <xdr:cNvPr id="4" name="Group 23"/>
        <xdr:cNvGrpSpPr>
          <a:grpSpLocks/>
        </xdr:cNvGrpSpPr>
      </xdr:nvGrpSpPr>
      <xdr:grpSpPr>
        <a:xfrm>
          <a:off x="266700" y="304800"/>
          <a:ext cx="2724150" cy="2190750"/>
          <a:chOff x="27" y="33"/>
          <a:chExt cx="286" cy="230"/>
        </a:xfrm>
        <a:solidFill>
          <a:srgbClr val="FFFFFF"/>
        </a:solidFill>
      </xdr:grpSpPr>
      <xdr:pic>
        <xdr:nvPicPr>
          <xdr:cNvPr id="5" name="Picture 19"/>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20"/>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21"/>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22"/>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xdr:row>
      <xdr:rowOff>0</xdr:rowOff>
    </xdr:from>
    <xdr:to>
      <xdr:col>6</xdr:col>
      <xdr:colOff>85725</xdr:colOff>
      <xdr:row>34</xdr:row>
      <xdr:rowOff>133350</xdr:rowOff>
    </xdr:to>
    <xdr:graphicFrame>
      <xdr:nvGraphicFramePr>
        <xdr:cNvPr id="1" name="Chart 13"/>
        <xdr:cNvGraphicFramePr/>
      </xdr:nvGraphicFramePr>
      <xdr:xfrm>
        <a:off x="28575" y="2581275"/>
        <a:ext cx="4267200" cy="37528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13</xdr:row>
      <xdr:rowOff>152400</xdr:rowOff>
    </xdr:from>
    <xdr:to>
      <xdr:col>12</xdr:col>
      <xdr:colOff>542925</xdr:colOff>
      <xdr:row>35</xdr:row>
      <xdr:rowOff>19050</xdr:rowOff>
    </xdr:to>
    <xdr:graphicFrame>
      <xdr:nvGraphicFramePr>
        <xdr:cNvPr id="2" name="Chart 17"/>
        <xdr:cNvGraphicFramePr/>
      </xdr:nvGraphicFramePr>
      <xdr:xfrm>
        <a:off x="4314825" y="2552700"/>
        <a:ext cx="4552950" cy="384810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257175</xdr:colOff>
      <xdr:row>1</xdr:row>
      <xdr:rowOff>85725</xdr:rowOff>
    </xdr:from>
    <xdr:to>
      <xdr:col>4</xdr:col>
      <xdr:colOff>171450</xdr:colOff>
      <xdr:row>13</xdr:row>
      <xdr:rowOff>104775</xdr:rowOff>
    </xdr:to>
    <xdr:grpSp>
      <xdr:nvGrpSpPr>
        <xdr:cNvPr id="4" name="Group 41"/>
        <xdr:cNvGrpSpPr>
          <a:grpSpLocks/>
        </xdr:cNvGrpSpPr>
      </xdr:nvGrpSpPr>
      <xdr:grpSpPr>
        <a:xfrm>
          <a:off x="257175" y="314325"/>
          <a:ext cx="2724150" cy="2190750"/>
          <a:chOff x="27" y="33"/>
          <a:chExt cx="286" cy="230"/>
        </a:xfrm>
        <a:solidFill>
          <a:srgbClr val="FFFFFF"/>
        </a:solidFill>
      </xdr:grpSpPr>
      <xdr:pic>
        <xdr:nvPicPr>
          <xdr:cNvPr id="5" name="Picture 42"/>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43"/>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44"/>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45"/>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9525</xdr:rowOff>
    </xdr:from>
    <xdr:to>
      <xdr:col>6</xdr:col>
      <xdr:colOff>95250</xdr:colOff>
      <xdr:row>36</xdr:row>
      <xdr:rowOff>133350</xdr:rowOff>
    </xdr:to>
    <xdr:graphicFrame>
      <xdr:nvGraphicFramePr>
        <xdr:cNvPr id="1" name="Chart 4"/>
        <xdr:cNvGraphicFramePr/>
      </xdr:nvGraphicFramePr>
      <xdr:xfrm>
        <a:off x="38100" y="2590800"/>
        <a:ext cx="4267200" cy="4105275"/>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14</xdr:row>
      <xdr:rowOff>9525</xdr:rowOff>
    </xdr:from>
    <xdr:to>
      <xdr:col>12</xdr:col>
      <xdr:colOff>590550</xdr:colOff>
      <xdr:row>36</xdr:row>
      <xdr:rowOff>95250</xdr:rowOff>
    </xdr:to>
    <xdr:graphicFrame>
      <xdr:nvGraphicFramePr>
        <xdr:cNvPr id="2" name="Chart 5"/>
        <xdr:cNvGraphicFramePr/>
      </xdr:nvGraphicFramePr>
      <xdr:xfrm>
        <a:off x="4362450" y="2590800"/>
        <a:ext cx="4552950" cy="406717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257175</xdr:colOff>
      <xdr:row>1</xdr:row>
      <xdr:rowOff>85725</xdr:rowOff>
    </xdr:from>
    <xdr:to>
      <xdr:col>4</xdr:col>
      <xdr:colOff>171450</xdr:colOff>
      <xdr:row>13</xdr:row>
      <xdr:rowOff>104775</xdr:rowOff>
    </xdr:to>
    <xdr:grpSp>
      <xdr:nvGrpSpPr>
        <xdr:cNvPr id="4" name="Group 21"/>
        <xdr:cNvGrpSpPr>
          <a:grpSpLocks/>
        </xdr:cNvGrpSpPr>
      </xdr:nvGrpSpPr>
      <xdr:grpSpPr>
        <a:xfrm>
          <a:off x="257175" y="314325"/>
          <a:ext cx="2724150" cy="2190750"/>
          <a:chOff x="27" y="33"/>
          <a:chExt cx="286" cy="230"/>
        </a:xfrm>
        <a:solidFill>
          <a:srgbClr val="FFFFFF"/>
        </a:solidFill>
      </xdr:grpSpPr>
      <xdr:pic>
        <xdr:nvPicPr>
          <xdr:cNvPr id="5" name="Picture 22"/>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23"/>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24"/>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25"/>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161925</xdr:rowOff>
    </xdr:from>
    <xdr:to>
      <xdr:col>7</xdr:col>
      <xdr:colOff>95250</xdr:colOff>
      <xdr:row>37</xdr:row>
      <xdr:rowOff>57150</xdr:rowOff>
    </xdr:to>
    <xdr:graphicFrame>
      <xdr:nvGraphicFramePr>
        <xdr:cNvPr id="1" name="Chart 5"/>
        <xdr:cNvGraphicFramePr/>
      </xdr:nvGraphicFramePr>
      <xdr:xfrm>
        <a:off x="438150" y="2743200"/>
        <a:ext cx="4552950" cy="405765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2</xdr:row>
      <xdr:rowOff>38100</xdr:rowOff>
    </xdr:from>
    <xdr:to>
      <xdr:col>5</xdr:col>
      <xdr:colOff>438150</xdr:colOff>
      <xdr:row>14</xdr:row>
      <xdr:rowOff>152400</xdr:rowOff>
    </xdr:to>
    <xdr:graphicFrame>
      <xdr:nvGraphicFramePr>
        <xdr:cNvPr id="2" name="Chart 14"/>
        <xdr:cNvGraphicFramePr/>
      </xdr:nvGraphicFramePr>
      <xdr:xfrm>
        <a:off x="1314450" y="447675"/>
        <a:ext cx="2647950" cy="2286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161925</xdr:colOff>
      <xdr:row>3</xdr:row>
      <xdr:rowOff>0</xdr:rowOff>
    </xdr:from>
    <xdr:to>
      <xdr:col>1</xdr:col>
      <xdr:colOff>333375</xdr:colOff>
      <xdr:row>7</xdr:row>
      <xdr:rowOff>133350</xdr:rowOff>
    </xdr:to>
    <xdr:pic>
      <xdr:nvPicPr>
        <xdr:cNvPr id="3" name="Picture 20"/>
        <xdr:cNvPicPr preferRelativeResize="1">
          <a:picLocks noChangeAspect="1"/>
        </xdr:cNvPicPr>
      </xdr:nvPicPr>
      <xdr:blipFill>
        <a:blip r:embed="rId3"/>
        <a:stretch>
          <a:fillRect/>
        </a:stretch>
      </xdr:blipFill>
      <xdr:spPr>
        <a:xfrm>
          <a:off x="161925" y="590550"/>
          <a:ext cx="857250" cy="85725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66675</xdr:rowOff>
    </xdr:from>
    <xdr:to>
      <xdr:col>6</xdr:col>
      <xdr:colOff>514350</xdr:colOff>
      <xdr:row>29</xdr:row>
      <xdr:rowOff>104775</xdr:rowOff>
    </xdr:to>
    <xdr:graphicFrame>
      <xdr:nvGraphicFramePr>
        <xdr:cNvPr id="1" name="Chart 13"/>
        <xdr:cNvGraphicFramePr/>
      </xdr:nvGraphicFramePr>
      <xdr:xfrm>
        <a:off x="257175" y="1381125"/>
        <a:ext cx="4467225" cy="4019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257175</xdr:colOff>
      <xdr:row>2</xdr:row>
      <xdr:rowOff>76200</xdr:rowOff>
    </xdr:from>
    <xdr:to>
      <xdr:col>3</xdr:col>
      <xdr:colOff>142875</xdr:colOff>
      <xdr:row>6</xdr:row>
      <xdr:rowOff>104775</xdr:rowOff>
    </xdr:to>
    <xdr:pic>
      <xdr:nvPicPr>
        <xdr:cNvPr id="2" name="Picture 15"/>
        <xdr:cNvPicPr preferRelativeResize="1">
          <a:picLocks noChangeAspect="1"/>
        </xdr:cNvPicPr>
      </xdr:nvPicPr>
      <xdr:blipFill>
        <a:blip r:embed="rId2"/>
        <a:stretch>
          <a:fillRect/>
        </a:stretch>
      </xdr:blipFill>
      <xdr:spPr>
        <a:xfrm>
          <a:off x="257175" y="485775"/>
          <a:ext cx="2009775" cy="7524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H25"/>
  <sheetViews>
    <sheetView tabSelected="1" workbookViewId="0" topLeftCell="A1">
      <selection activeCell="C25" sqref="C25"/>
    </sheetView>
  </sheetViews>
  <sheetFormatPr defaultColWidth="9.00390625" defaultRowHeight="14.25" customHeight="1"/>
  <sheetData>
    <row r="1" spans="1:8" s="41" customFormat="1" ht="17.25">
      <c r="A1" s="40" t="s">
        <v>160</v>
      </c>
      <c r="H1" s="42" t="s">
        <v>173</v>
      </c>
    </row>
    <row r="2" ht="14.25" customHeight="1">
      <c r="B2" s="37" t="s">
        <v>172</v>
      </c>
    </row>
    <row r="4" ht="14.25" customHeight="1">
      <c r="A4" s="37"/>
    </row>
    <row r="5" ht="14.25" customHeight="1">
      <c r="A5" s="36" t="s">
        <v>156</v>
      </c>
    </row>
    <row r="6" ht="14.25" customHeight="1">
      <c r="B6" s="36" t="s">
        <v>155</v>
      </c>
    </row>
    <row r="7" ht="14.25" customHeight="1">
      <c r="B7" s="36" t="s">
        <v>161</v>
      </c>
    </row>
    <row r="8" ht="14.25" customHeight="1">
      <c r="B8" s="36" t="s">
        <v>162</v>
      </c>
    </row>
    <row r="10" ht="14.25" customHeight="1">
      <c r="C10" s="36" t="s">
        <v>163</v>
      </c>
    </row>
    <row r="11" ht="14.25" customHeight="1">
      <c r="C11" t="s">
        <v>164</v>
      </c>
    </row>
    <row r="12" ht="14.25" customHeight="1">
      <c r="C12" t="s">
        <v>166</v>
      </c>
    </row>
    <row r="14" ht="14.25" customHeight="1">
      <c r="A14" s="36" t="s">
        <v>157</v>
      </c>
    </row>
    <row r="15" ht="14.25" customHeight="1">
      <c r="B15" s="36" t="s">
        <v>165</v>
      </c>
    </row>
    <row r="16" ht="14.25" customHeight="1">
      <c r="A16" s="36"/>
    </row>
    <row r="18" ht="14.25" customHeight="1">
      <c r="A18" s="36" t="s">
        <v>158</v>
      </c>
    </row>
    <row r="19" ht="14.25" customHeight="1">
      <c r="B19" s="37" t="s">
        <v>159</v>
      </c>
    </row>
    <row r="25" ht="14.25" customHeight="1">
      <c r="C25" s="37" t="s">
        <v>167</v>
      </c>
    </row>
  </sheetData>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1"/>
  <dimension ref="A1:R510"/>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spans="1:17" ht="18">
      <c r="A1" s="1" t="s">
        <v>168</v>
      </c>
      <c r="B1" s="3"/>
      <c r="D1" s="3"/>
      <c r="K1" s="6"/>
      <c r="L1" s="6"/>
      <c r="M1" s="6"/>
      <c r="N1" s="6"/>
      <c r="O1" s="6"/>
      <c r="P1" s="6"/>
      <c r="Q1" s="6"/>
    </row>
    <row r="2" spans="2:17" ht="14.25" customHeight="1">
      <c r="B2" s="3"/>
      <c r="D2" s="3"/>
      <c r="K2" s="6"/>
      <c r="L2" s="6"/>
      <c r="M2" s="6"/>
      <c r="N2" s="6"/>
      <c r="O2" s="6"/>
      <c r="P2" s="6"/>
      <c r="Q2"/>
    </row>
    <row r="3" spans="2:17" ht="14.25" customHeight="1">
      <c r="B3" s="3"/>
      <c r="D3" s="3"/>
      <c r="G3" s="4" t="s">
        <v>2</v>
      </c>
      <c r="H3" s="5">
        <v>0.04</v>
      </c>
      <c r="K3" s="6"/>
      <c r="L3" s="6"/>
      <c r="M3" s="6"/>
      <c r="N3" s="6"/>
      <c r="O3" s="6"/>
      <c r="P3" s="6"/>
      <c r="Q3" s="6"/>
    </row>
    <row r="4" spans="2:17" ht="14.25" customHeight="1">
      <c r="B4" s="3"/>
      <c r="D4" s="3"/>
      <c r="G4" s="7" t="s">
        <v>3</v>
      </c>
      <c r="H4" s="8">
        <v>0.6</v>
      </c>
      <c r="K4" s="6"/>
      <c r="L4" s="6"/>
      <c r="M4" s="6"/>
      <c r="N4" s="6"/>
      <c r="O4" s="6"/>
      <c r="P4" s="6"/>
      <c r="Q4" s="6"/>
    </row>
    <row r="5" spans="2:17" ht="14.25" customHeight="1">
      <c r="B5" s="3"/>
      <c r="D5" s="3"/>
      <c r="G5" s="9" t="s">
        <v>4</v>
      </c>
      <c r="H5" s="10">
        <v>0.02</v>
      </c>
      <c r="I5" s="6"/>
      <c r="J5" s="6"/>
      <c r="K5" s="6"/>
      <c r="L5" s="18"/>
      <c r="M5" s="6"/>
      <c r="N5" s="6"/>
      <c r="O5" s="6"/>
      <c r="P5" s="6"/>
      <c r="Q5" s="6"/>
    </row>
    <row r="6" spans="4:17" ht="14.25" customHeight="1">
      <c r="D6" s="6"/>
      <c r="G6" s="11" t="s">
        <v>0</v>
      </c>
      <c r="H6" s="12">
        <v>1.5</v>
      </c>
      <c r="I6" s="6"/>
      <c r="J6" s="18"/>
      <c r="K6" s="6"/>
      <c r="L6" s="38"/>
      <c r="M6" s="6"/>
      <c r="N6" s="38"/>
      <c r="O6" s="6"/>
      <c r="P6" s="6"/>
      <c r="Q6" s="6"/>
    </row>
    <row r="7" spans="4:17" ht="14.25" customHeight="1">
      <c r="D7" s="6"/>
      <c r="G7" s="13" t="s">
        <v>1</v>
      </c>
      <c r="H7" s="10">
        <v>0.5</v>
      </c>
      <c r="I7" s="6"/>
      <c r="J7" s="18"/>
      <c r="K7" s="6"/>
      <c r="L7" s="38"/>
      <c r="M7" s="6"/>
      <c r="N7" s="38"/>
      <c r="O7" s="6"/>
      <c r="P7" s="6"/>
      <c r="Q7" s="6"/>
    </row>
    <row r="8" spans="4:17" ht="14.25" customHeight="1">
      <c r="D8" s="6"/>
      <c r="G8" s="14" t="s">
        <v>5</v>
      </c>
      <c r="H8" s="15">
        <v>790</v>
      </c>
      <c r="I8" s="6"/>
      <c r="J8" s="18"/>
      <c r="K8" s="6"/>
      <c r="L8" s="38"/>
      <c r="M8" s="6"/>
      <c r="N8" s="6"/>
      <c r="O8" s="6"/>
      <c r="P8" s="6"/>
      <c r="Q8" s="6"/>
    </row>
    <row r="9" spans="4:17" ht="14.25" customHeight="1">
      <c r="D9" s="6"/>
      <c r="I9" s="6"/>
      <c r="J9" s="39"/>
      <c r="K9" s="6"/>
      <c r="L9" s="38"/>
      <c r="M9" s="6"/>
      <c r="N9" s="38"/>
      <c r="O9" s="6"/>
      <c r="P9" s="6"/>
      <c r="Q9" s="6"/>
    </row>
    <row r="10" spans="4:17" ht="14.25" customHeight="1">
      <c r="D10" s="3"/>
      <c r="I10" s="6"/>
      <c r="J10" s="18"/>
      <c r="K10" s="6"/>
      <c r="L10" s="17"/>
      <c r="M10" s="6"/>
      <c r="N10" s="6"/>
      <c r="O10" s="6"/>
      <c r="P10" s="6"/>
      <c r="Q10" s="6"/>
    </row>
    <row r="11" spans="4:17" ht="14.25" customHeight="1">
      <c r="D11" s="3"/>
      <c r="I11" s="6"/>
      <c r="J11" s="18"/>
      <c r="K11" s="6"/>
      <c r="L11" s="6"/>
      <c r="M11" s="6"/>
      <c r="N11" s="6"/>
      <c r="O11" s="6"/>
      <c r="P11" s="6"/>
      <c r="Q11" s="6"/>
    </row>
    <row r="12" spans="2:17" ht="14.25" customHeight="1">
      <c r="B12" s="3"/>
      <c r="D12" s="3"/>
      <c r="I12" s="6"/>
      <c r="J12" s="6"/>
      <c r="K12" s="6"/>
      <c r="L12" s="6"/>
      <c r="M12" s="6"/>
      <c r="N12" s="6"/>
      <c r="O12" s="6"/>
      <c r="P12" s="6"/>
      <c r="Q12" s="6"/>
    </row>
    <row r="13" spans="9:15" ht="14.25" customHeight="1">
      <c r="I13" s="6"/>
      <c r="J13" s="6"/>
      <c r="K13" s="6"/>
      <c r="L13" s="6"/>
      <c r="M13" s="6"/>
      <c r="N13" s="6"/>
      <c r="O13" s="6"/>
    </row>
    <row r="14" spans="9:15" ht="14.25" customHeight="1">
      <c r="I14" s="6"/>
      <c r="J14" s="6"/>
      <c r="K14" s="6"/>
      <c r="L14" s="6"/>
      <c r="M14" s="6"/>
      <c r="N14" s="6"/>
      <c r="O14" s="6"/>
    </row>
    <row r="34" spans="11:18" ht="14.25" customHeight="1">
      <c r="K34" s="22"/>
      <c r="L34" s="20"/>
      <c r="M34" s="22"/>
      <c r="N34" s="22"/>
      <c r="O34" s="22"/>
      <c r="P34" s="22"/>
      <c r="Q34" s="22"/>
      <c r="R34" s="22"/>
    </row>
    <row r="35" spans="1:18" ht="14.25" customHeight="1">
      <c r="A35" s="16" t="s">
        <v>6</v>
      </c>
      <c r="B35" s="17" t="s">
        <v>7</v>
      </c>
      <c r="C35" s="18" t="s">
        <v>8</v>
      </c>
      <c r="D35" s="17" t="s">
        <v>9</v>
      </c>
      <c r="J35" s="20"/>
      <c r="K35" s="21"/>
      <c r="R35" s="23"/>
    </row>
    <row r="36" spans="1:18" ht="14.25" customHeight="1">
      <c r="A36" s="2">
        <v>0</v>
      </c>
      <c r="B36" s="2">
        <f aca="true" t="shared" si="0" ref="B36:B67">(1+($H$5*$A36)^$H$6)^(-(1-1/$H$6))</f>
        <v>1</v>
      </c>
      <c r="C36" s="2">
        <f aca="true" t="shared" si="1" ref="C36:C67">B36*($H$4-$H$3)+$H$3</f>
        <v>0.6</v>
      </c>
      <c r="D36" s="19">
        <f aca="true" t="shared" si="2" ref="D36:D67">$H$8*$B36^$H$7*(1-(1-$B36^((1-1/$H$6)^(-1)))^(1-1/$H$6))^2</f>
        <v>790</v>
      </c>
      <c r="J36" s="20"/>
      <c r="K36" s="21"/>
      <c r="R36" s="23"/>
    </row>
    <row r="37" spans="1:18" ht="14.25" customHeight="1">
      <c r="A37" s="2">
        <v>1</v>
      </c>
      <c r="B37" s="2">
        <f t="shared" si="0"/>
        <v>0.9990589648344795</v>
      </c>
      <c r="C37" s="2">
        <f t="shared" si="1"/>
        <v>0.5994730203073085</v>
      </c>
      <c r="D37" s="19">
        <f t="shared" si="2"/>
        <v>582.2606473457589</v>
      </c>
      <c r="J37" s="20"/>
      <c r="K37" s="21"/>
      <c r="R37" s="23"/>
    </row>
    <row r="38" spans="1:18" ht="14.25" customHeight="1">
      <c r="A38" s="2">
        <f aca="true" t="shared" si="3" ref="A38:A69">A37*1.2</f>
        <v>1.2</v>
      </c>
      <c r="B38" s="2">
        <f t="shared" si="0"/>
        <v>0.998763708472956</v>
      </c>
      <c r="C38" s="2">
        <f t="shared" si="1"/>
        <v>0.5993076767448554</v>
      </c>
      <c r="D38" s="19">
        <f t="shared" si="2"/>
        <v>564.0941954655328</v>
      </c>
      <c r="J38" s="20"/>
      <c r="K38" s="21"/>
      <c r="R38" s="23"/>
    </row>
    <row r="39" spans="1:18" ht="14.25" customHeight="1">
      <c r="A39" s="2">
        <f t="shared" si="3"/>
        <v>1.44</v>
      </c>
      <c r="B39" s="2">
        <f t="shared" si="0"/>
        <v>0.9983761142945445</v>
      </c>
      <c r="C39" s="2">
        <f t="shared" si="1"/>
        <v>0.599090624004945</v>
      </c>
      <c r="D39" s="19">
        <f t="shared" si="2"/>
        <v>544.5360243515897</v>
      </c>
      <c r="J39" s="20"/>
      <c r="K39" s="21"/>
      <c r="R39" s="23"/>
    </row>
    <row r="40" spans="1:18" ht="14.25" customHeight="1">
      <c r="A40" s="2">
        <f t="shared" si="3"/>
        <v>1.728</v>
      </c>
      <c r="B40" s="2">
        <f t="shared" si="0"/>
        <v>0.9978675224778759</v>
      </c>
      <c r="C40" s="2">
        <f t="shared" si="1"/>
        <v>0.5988058125876105</v>
      </c>
      <c r="D40" s="19">
        <f t="shared" si="2"/>
        <v>523.5262916360523</v>
      </c>
      <c r="J40" s="20"/>
      <c r="K40" s="21"/>
      <c r="R40" s="23"/>
    </row>
    <row r="41" spans="1:18" ht="14.25" customHeight="1">
      <c r="A41" s="2">
        <f t="shared" si="3"/>
        <v>2.0736</v>
      </c>
      <c r="B41" s="2">
        <f t="shared" si="0"/>
        <v>0.9972005347380062</v>
      </c>
      <c r="C41" s="2">
        <f t="shared" si="1"/>
        <v>0.5984322994532835</v>
      </c>
      <c r="D41" s="19">
        <f t="shared" si="2"/>
        <v>501.01582707055854</v>
      </c>
      <c r="J41" s="20"/>
      <c r="K41" s="21"/>
      <c r="R41" s="23"/>
    </row>
    <row r="42" spans="1:18" ht="14.25" customHeight="1">
      <c r="A42" s="2">
        <f t="shared" si="3"/>
        <v>2.48832</v>
      </c>
      <c r="B42" s="2">
        <f t="shared" si="0"/>
        <v>0.9963264626970421</v>
      </c>
      <c r="C42" s="2">
        <f t="shared" si="1"/>
        <v>0.5979428191103435</v>
      </c>
      <c r="D42" s="19">
        <f t="shared" si="2"/>
        <v>476.970978854248</v>
      </c>
      <c r="J42" s="20"/>
      <c r="K42" s="21"/>
      <c r="R42" s="23"/>
    </row>
    <row r="43" spans="1:18" ht="14.25" customHeight="1">
      <c r="A43" s="2">
        <f t="shared" si="3"/>
        <v>2.9859839999999997</v>
      </c>
      <c r="B43" s="2">
        <f t="shared" si="0"/>
        <v>0.9951821120099803</v>
      </c>
      <c r="C43" s="2">
        <f t="shared" si="1"/>
        <v>0.597301982725589</v>
      </c>
      <c r="D43" s="19">
        <f t="shared" si="2"/>
        <v>451.3797584797227</v>
      </c>
      <c r="J43" s="20"/>
      <c r="K43" s="21"/>
      <c r="R43" s="23"/>
    </row>
    <row r="44" spans="1:18" ht="14.25" customHeight="1">
      <c r="A44" s="2">
        <f t="shared" si="3"/>
        <v>3.5831807999999996</v>
      </c>
      <c r="B44" s="2">
        <f t="shared" si="0"/>
        <v>0.993685787833283</v>
      </c>
      <c r="C44" s="2">
        <f t="shared" si="1"/>
        <v>0.5964640411866384</v>
      </c>
      <c r="D44" s="19">
        <f t="shared" si="2"/>
        <v>424.25949714940276</v>
      </c>
      <c r="J44" s="20"/>
      <c r="K44" s="21"/>
      <c r="R44" s="23"/>
    </row>
    <row r="45" spans="1:18" ht="14.25" customHeight="1">
      <c r="A45" s="2">
        <f t="shared" si="3"/>
        <v>4.299816959999999</v>
      </c>
      <c r="B45" s="2">
        <f t="shared" si="0"/>
        <v>0.9917324325594066</v>
      </c>
      <c r="C45" s="2">
        <f t="shared" si="1"/>
        <v>0.5953701622332677</v>
      </c>
      <c r="D45" s="19">
        <f t="shared" si="2"/>
        <v>395.6661701118371</v>
      </c>
      <c r="J45" s="20"/>
      <c r="K45" s="21"/>
      <c r="R45" s="23"/>
    </row>
    <row r="46" spans="1:11" ht="14.25" customHeight="1">
      <c r="A46" s="2">
        <f t="shared" si="3"/>
        <v>5.159780351999999</v>
      </c>
      <c r="B46" s="2">
        <f t="shared" si="0"/>
        <v>0.989187875896792</v>
      </c>
      <c r="C46" s="2">
        <f t="shared" si="1"/>
        <v>0.5939452105022035</v>
      </c>
      <c r="D46" s="19">
        <f t="shared" si="2"/>
        <v>365.70540056372477</v>
      </c>
      <c r="J46" s="20"/>
      <c r="K46" s="21"/>
    </row>
    <row r="47" spans="1:11" ht="14.25" customHeight="1">
      <c r="A47" s="2">
        <f t="shared" si="3"/>
        <v>6.191736422399999</v>
      </c>
      <c r="B47" s="2">
        <f t="shared" si="0"/>
        <v>0.9858823203945122</v>
      </c>
      <c r="C47" s="2">
        <f t="shared" si="1"/>
        <v>0.5920940994209268</v>
      </c>
      <c r="D47" s="19">
        <f t="shared" si="2"/>
        <v>334.5448665512007</v>
      </c>
      <c r="J47" s="20"/>
      <c r="K47" s="21"/>
    </row>
    <row r="48" spans="1:11" ht="14.25" customHeight="1">
      <c r="A48" s="2">
        <f t="shared" si="3"/>
        <v>7.430083706879999</v>
      </c>
      <c r="B48" s="2">
        <f t="shared" si="0"/>
        <v>0.9816034435868759</v>
      </c>
      <c r="C48" s="2">
        <f t="shared" si="1"/>
        <v>0.5896979284086504</v>
      </c>
      <c r="D48" s="19">
        <f t="shared" si="2"/>
        <v>302.4273329995715</v>
      </c>
      <c r="J48" s="20"/>
      <c r="K48" s="21"/>
    </row>
    <row r="49" spans="1:11" ht="14.25" customHeight="1">
      <c r="A49" s="2">
        <f t="shared" si="3"/>
        <v>8.916100448255998</v>
      </c>
      <c r="B49" s="2">
        <f t="shared" si="0"/>
        <v>0.9760899192514056</v>
      </c>
      <c r="C49" s="2">
        <f t="shared" si="1"/>
        <v>0.5866103547807872</v>
      </c>
      <c r="D49" s="19">
        <f t="shared" si="2"/>
        <v>269.682749592446</v>
      </c>
      <c r="J49" s="20"/>
      <c r="K49" s="21"/>
    </row>
    <row r="50" spans="1:11" ht="14.25" customHeight="1">
      <c r="A50" s="2">
        <f t="shared" si="3"/>
        <v>10.699320537907196</v>
      </c>
      <c r="B50" s="2">
        <f t="shared" si="0"/>
        <v>0.9690267837491728</v>
      </c>
      <c r="C50" s="2">
        <f t="shared" si="1"/>
        <v>0.5826549988995368</v>
      </c>
      <c r="D50" s="19">
        <f t="shared" si="2"/>
        <v>236.73677348474968</v>
      </c>
      <c r="J50" s="20"/>
      <c r="K50" s="21"/>
    </row>
    <row r="51" spans="1:11" ht="14.25" customHeight="1">
      <c r="A51" s="2">
        <f t="shared" si="3"/>
        <v>12.839184645488634</v>
      </c>
      <c r="B51" s="2">
        <f t="shared" si="0"/>
        <v>0.9600448899743048</v>
      </c>
      <c r="C51" s="2">
        <f t="shared" si="1"/>
        <v>0.5776251383856107</v>
      </c>
      <c r="D51" s="19">
        <f t="shared" si="2"/>
        <v>204.1118070914503</v>
      </c>
      <c r="J51" s="20"/>
      <c r="K51" s="21"/>
    </row>
    <row r="52" spans="1:11" ht="14.25" customHeight="1">
      <c r="A52" s="2">
        <f t="shared" si="3"/>
        <v>15.407021574586361</v>
      </c>
      <c r="B52" s="2">
        <f t="shared" si="0"/>
        <v>0.9487275734055113</v>
      </c>
      <c r="C52" s="2">
        <f t="shared" si="1"/>
        <v>0.5712874411070863</v>
      </c>
      <c r="D52" s="19">
        <f t="shared" si="2"/>
        <v>172.41556179938073</v>
      </c>
      <c r="J52" s="20"/>
      <c r="K52" s="21"/>
    </row>
    <row r="53" spans="1:11" ht="14.25" customHeight="1">
      <c r="A53" s="2">
        <f t="shared" si="3"/>
        <v>18.48842588950363</v>
      </c>
      <c r="B53" s="2">
        <f t="shared" si="0"/>
        <v>0.9346282597380824</v>
      </c>
      <c r="C53" s="2">
        <f t="shared" si="1"/>
        <v>0.5633918254533261</v>
      </c>
      <c r="D53" s="19">
        <f t="shared" si="2"/>
        <v>142.31202833546968</v>
      </c>
      <c r="J53" s="20"/>
      <c r="K53" s="21"/>
    </row>
    <row r="54" spans="1:11" ht="14.25" customHeight="1">
      <c r="A54" s="2">
        <f t="shared" si="3"/>
        <v>22.186111067404358</v>
      </c>
      <c r="B54" s="2">
        <f t="shared" si="0"/>
        <v>0.9173024449687917</v>
      </c>
      <c r="C54" s="2">
        <f t="shared" si="1"/>
        <v>0.5536893691825233</v>
      </c>
      <c r="D54" s="19">
        <f t="shared" si="2"/>
        <v>114.47165583384748</v>
      </c>
      <c r="J54" s="20"/>
      <c r="K54" s="21"/>
    </row>
    <row r="55" spans="1:11" ht="14.25" customHeight="1">
      <c r="A55" s="2">
        <f t="shared" si="3"/>
        <v>26.62333328088523</v>
      </c>
      <c r="B55" s="2">
        <f t="shared" si="0"/>
        <v>0.8963554520132464</v>
      </c>
      <c r="C55" s="2">
        <f t="shared" si="1"/>
        <v>0.541959053127418</v>
      </c>
      <c r="D55" s="19">
        <f t="shared" si="2"/>
        <v>89.50250308064398</v>
      </c>
      <c r="J55" s="20"/>
      <c r="K55" s="21"/>
    </row>
    <row r="56" spans="1:11" ht="14.25" customHeight="1">
      <c r="A56" s="2">
        <f t="shared" si="3"/>
        <v>31.947999937062274</v>
      </c>
      <c r="B56" s="2">
        <f t="shared" si="0"/>
        <v>0.8715030116987172</v>
      </c>
      <c r="C56" s="2">
        <f t="shared" si="1"/>
        <v>0.5280416865512816</v>
      </c>
      <c r="D56" s="19">
        <f t="shared" si="2"/>
        <v>67.87197338487405</v>
      </c>
      <c r="J56" s="20"/>
      <c r="K56" s="21"/>
    </row>
    <row r="57" spans="1:11" ht="14.25" customHeight="1">
      <c r="A57" s="2">
        <f t="shared" si="3"/>
        <v>38.33759992447473</v>
      </c>
      <c r="B57" s="2">
        <f t="shared" si="0"/>
        <v>0.8426354544383614</v>
      </c>
      <c r="C57" s="2">
        <f t="shared" si="1"/>
        <v>0.5118758544854823</v>
      </c>
      <c r="D57" s="19">
        <f t="shared" si="2"/>
        <v>49.8369799931721</v>
      </c>
      <c r="J57" s="20"/>
      <c r="K57" s="21"/>
    </row>
    <row r="58" spans="1:11" ht="14.25" customHeight="1">
      <c r="A58" s="2">
        <f t="shared" si="3"/>
        <v>46.005119909369675</v>
      </c>
      <c r="B58" s="2">
        <f t="shared" si="0"/>
        <v>0.8098703408083788</v>
      </c>
      <c r="C58" s="2">
        <f t="shared" si="1"/>
        <v>0.4935273908526921</v>
      </c>
      <c r="D58" s="19">
        <f t="shared" si="2"/>
        <v>35.40410710272534</v>
      </c>
      <c r="J58" s="20"/>
      <c r="K58" s="21"/>
    </row>
    <row r="59" spans="1:11" ht="14.25" customHeight="1">
      <c r="A59" s="2">
        <f t="shared" si="3"/>
        <v>55.206143891243606</v>
      </c>
      <c r="B59" s="2">
        <f t="shared" si="0"/>
        <v>0.7735764157813021</v>
      </c>
      <c r="C59" s="2">
        <f t="shared" si="1"/>
        <v>0.4732027928375291</v>
      </c>
      <c r="D59" s="19">
        <f t="shared" si="2"/>
        <v>24.3357762233044</v>
      </c>
      <c r="J59" s="20"/>
      <c r="K59" s="21"/>
    </row>
    <row r="60" spans="1:11" ht="14.25" customHeight="1">
      <c r="A60" s="2">
        <f t="shared" si="3"/>
        <v>66.24737266949232</v>
      </c>
      <c r="B60" s="2">
        <f t="shared" si="0"/>
        <v>0.7343569469360642</v>
      </c>
      <c r="C60" s="2">
        <f t="shared" si="1"/>
        <v>0.4512398902841959</v>
      </c>
      <c r="D60" s="19">
        <f t="shared" si="2"/>
        <v>16.203494419679025</v>
      </c>
      <c r="J60" s="20"/>
      <c r="K60" s="21"/>
    </row>
    <row r="61" spans="1:11" ht="14.25" customHeight="1">
      <c r="A61" s="2">
        <f t="shared" si="3"/>
        <v>79.49684720339079</v>
      </c>
      <c r="B61" s="2">
        <f t="shared" si="0"/>
        <v>0.6929923023445936</v>
      </c>
      <c r="C61" s="2">
        <f t="shared" si="1"/>
        <v>0.42807568931297235</v>
      </c>
      <c r="D61" s="19">
        <f t="shared" si="2"/>
        <v>10.471827382364564</v>
      </c>
      <c r="J61" s="20"/>
      <c r="K61" s="21"/>
    </row>
    <row r="62" spans="1:11" ht="14.25" customHeight="1">
      <c r="A62" s="2">
        <f t="shared" si="3"/>
        <v>95.39621664406894</v>
      </c>
      <c r="B62" s="2">
        <f t="shared" si="0"/>
        <v>0.650354920996985</v>
      </c>
      <c r="C62" s="2">
        <f t="shared" si="1"/>
        <v>0.40419875575831155</v>
      </c>
      <c r="D62" s="19">
        <f t="shared" si="2"/>
        <v>6.586800719137566</v>
      </c>
      <c r="J62" s="20"/>
      <c r="K62" s="21"/>
    </row>
    <row r="63" spans="1:11" ht="14.25" customHeight="1">
      <c r="A63" s="2">
        <f t="shared" si="3"/>
        <v>114.47545997288273</v>
      </c>
      <c r="B63" s="2">
        <f t="shared" si="0"/>
        <v>0.607317835455887</v>
      </c>
      <c r="C63" s="2">
        <f t="shared" si="1"/>
        <v>0.3800979878552967</v>
      </c>
      <c r="D63" s="19">
        <f t="shared" si="2"/>
        <v>4.045261377576844</v>
      </c>
      <c r="J63" s="20"/>
      <c r="K63" s="21"/>
    </row>
    <row r="64" spans="1:11" ht="14.25" customHeight="1">
      <c r="A64" s="2">
        <f t="shared" si="3"/>
        <v>137.37055196745928</v>
      </c>
      <c r="B64" s="2">
        <f t="shared" si="0"/>
        <v>0.564677014568891</v>
      </c>
      <c r="C64" s="2">
        <f t="shared" si="1"/>
        <v>0.35621912815857887</v>
      </c>
      <c r="D64" s="19">
        <f t="shared" si="2"/>
        <v>2.4338518132228026</v>
      </c>
      <c r="J64" s="20"/>
      <c r="K64" s="21"/>
    </row>
    <row r="65" spans="1:11" ht="14.25" customHeight="1">
      <c r="A65" s="2">
        <f t="shared" si="3"/>
        <v>164.84466236095113</v>
      </c>
      <c r="B65" s="2">
        <f t="shared" si="0"/>
        <v>0.5230998371799908</v>
      </c>
      <c r="C65" s="2">
        <f t="shared" si="1"/>
        <v>0.33293590882079477</v>
      </c>
      <c r="D65" s="19">
        <f t="shared" si="2"/>
        <v>1.4392717874658794</v>
      </c>
      <c r="J65" s="20"/>
      <c r="K65" s="21"/>
    </row>
    <row r="66" spans="1:11" ht="14.25" customHeight="1">
      <c r="A66" s="2">
        <f t="shared" si="3"/>
        <v>197.81359483314137</v>
      </c>
      <c r="B66" s="2">
        <f t="shared" si="0"/>
        <v>0.4831021022432941</v>
      </c>
      <c r="C66" s="2">
        <f t="shared" si="1"/>
        <v>0.31053717725624463</v>
      </c>
      <c r="D66" s="19">
        <f t="shared" si="2"/>
        <v>0.839099187978949</v>
      </c>
      <c r="J66" s="20"/>
      <c r="K66" s="21"/>
    </row>
    <row r="67" spans="1:11" ht="14.25" customHeight="1">
      <c r="A67" s="2">
        <f t="shared" si="3"/>
        <v>237.37631379976963</v>
      </c>
      <c r="B67" s="2">
        <f t="shared" si="0"/>
        <v>0.4450486059473631</v>
      </c>
      <c r="C67" s="2">
        <f t="shared" si="1"/>
        <v>0.2892272193305233</v>
      </c>
      <c r="D67" s="19">
        <f t="shared" si="2"/>
        <v>0.4835894121512445</v>
      </c>
      <c r="J67" s="20"/>
      <c r="K67" s="21"/>
    </row>
    <row r="68" spans="1:11" ht="14.25" customHeight="1">
      <c r="A68" s="2">
        <f t="shared" si="3"/>
        <v>284.8515765597235</v>
      </c>
      <c r="B68" s="2">
        <f aca="true" t="shared" si="4" ref="B68:B87">(1+($H$5*$A68)^$H$6)^(-(1-1/$H$6))</f>
        <v>0.40916913526764137</v>
      </c>
      <c r="C68" s="2">
        <f aca="true" t="shared" si="5" ref="C68:C87">B68*($H$4-$H$3)+$H$3</f>
        <v>0.2691347157498791</v>
      </c>
      <c r="D68" s="19">
        <f aca="true" t="shared" si="6" ref="D68:D87">$H$8*$B68^$H$7*(1-(1-$B68^((1-1/$H$6)^(-1)))^(1-1/$H$6))^2</f>
        <v>0.2761447993855362</v>
      </c>
      <c r="J68" s="20"/>
      <c r="K68" s="21"/>
    </row>
    <row r="69" spans="1:11" ht="14.25" customHeight="1">
      <c r="A69" s="2">
        <f t="shared" si="3"/>
        <v>341.82189187166824</v>
      </c>
      <c r="B69" s="2">
        <f t="shared" si="4"/>
        <v>0.3755819739282204</v>
      </c>
      <c r="C69" s="2">
        <f t="shared" si="5"/>
        <v>0.2503259053998034</v>
      </c>
      <c r="D69" s="19">
        <f t="shared" si="6"/>
        <v>0.15654194282258732</v>
      </c>
      <c r="J69" s="20"/>
      <c r="K69" s="21"/>
    </row>
    <row r="70" spans="1:11" ht="14.25" customHeight="1">
      <c r="A70" s="2">
        <f aca="true" t="shared" si="7" ref="A70:A87">A69*1.2</f>
        <v>410.18627024600187</v>
      </c>
      <c r="B70" s="2">
        <f t="shared" si="4"/>
        <v>0.34431901336127024</v>
      </c>
      <c r="C70" s="2">
        <f t="shared" si="5"/>
        <v>0.23281864748231132</v>
      </c>
      <c r="D70" s="19">
        <f t="shared" si="6"/>
        <v>0.08823524809982174</v>
      </c>
      <c r="J70" s="20"/>
      <c r="K70" s="21"/>
    </row>
    <row r="71" spans="1:11" ht="14.25" customHeight="1">
      <c r="A71" s="2">
        <f t="shared" si="7"/>
        <v>492.2235242952022</v>
      </c>
      <c r="B71" s="2">
        <f t="shared" si="4"/>
        <v>0.3153488915191177</v>
      </c>
      <c r="C71" s="2">
        <f t="shared" si="5"/>
        <v>0.2165953792507059</v>
      </c>
      <c r="D71" s="19">
        <f t="shared" si="6"/>
        <v>0.04951313799709637</v>
      </c>
      <c r="J71" s="20"/>
      <c r="K71" s="21"/>
    </row>
    <row r="72" spans="1:11" ht="14.25" customHeight="1">
      <c r="A72" s="2">
        <f t="shared" si="7"/>
        <v>590.6682291542426</v>
      </c>
      <c r="B72" s="2">
        <f t="shared" si="4"/>
        <v>0.2885964864572781</v>
      </c>
      <c r="C72" s="2">
        <f t="shared" si="5"/>
        <v>0.20161403241607573</v>
      </c>
      <c r="D72" s="19">
        <f t="shared" si="6"/>
        <v>0.027688638982180203</v>
      </c>
      <c r="J72" s="20"/>
      <c r="K72" s="21"/>
    </row>
    <row r="73" spans="1:11" ht="14.25" customHeight="1">
      <c r="A73" s="2">
        <f t="shared" si="7"/>
        <v>708.8018749850911</v>
      </c>
      <c r="B73" s="2">
        <f t="shared" si="4"/>
        <v>0.2639583540676601</v>
      </c>
      <c r="C73" s="2">
        <f t="shared" si="5"/>
        <v>0.18781667827788964</v>
      </c>
      <c r="D73" s="19">
        <f t="shared" si="6"/>
        <v>0.015442869320707956</v>
      </c>
      <c r="J73" s="20"/>
      <c r="K73" s="21"/>
    </row>
    <row r="74" spans="1:11" ht="14.25" customHeight="1">
      <c r="A74" s="2">
        <f t="shared" si="7"/>
        <v>850.5622499821093</v>
      </c>
      <c r="B74" s="2">
        <f t="shared" si="4"/>
        <v>0.2413143965325684</v>
      </c>
      <c r="C74" s="2">
        <f t="shared" si="5"/>
        <v>0.17513606205823828</v>
      </c>
      <c r="D74" s="19">
        <f t="shared" si="6"/>
        <v>0.008595409741131429</v>
      </c>
      <c r="J74" s="20"/>
      <c r="K74" s="21"/>
    </row>
    <row r="75" spans="1:11" ht="14.25" customHeight="1">
      <c r="A75" s="2">
        <f t="shared" si="7"/>
        <v>1020.6746999785311</v>
      </c>
      <c r="B75" s="2">
        <f t="shared" si="4"/>
        <v>0.2205363499365253</v>
      </c>
      <c r="C75" s="2">
        <f t="shared" si="5"/>
        <v>0.16350035596445414</v>
      </c>
      <c r="D75" s="19">
        <f t="shared" si="6"/>
        <v>0.004776659848662126</v>
      </c>
      <c r="J75" s="20"/>
      <c r="K75" s="21"/>
    </row>
    <row r="76" spans="1:11" ht="14.25" customHeight="1">
      <c r="A76" s="2">
        <f t="shared" si="7"/>
        <v>1224.8096399742371</v>
      </c>
      <c r="B76" s="2">
        <f t="shared" si="4"/>
        <v>0.20149374635414805</v>
      </c>
      <c r="C76" s="2">
        <f t="shared" si="5"/>
        <v>0.15283649795832288</v>
      </c>
      <c r="D76" s="19">
        <f t="shared" si="6"/>
        <v>0.002651312336116049</v>
      </c>
      <c r="J76" s="20"/>
      <c r="K76" s="21"/>
    </row>
    <row r="77" spans="1:11" ht="14.25" customHeight="1">
      <c r="A77" s="2">
        <f t="shared" si="7"/>
        <v>1469.7715679690846</v>
      </c>
      <c r="B77" s="2">
        <f t="shared" si="4"/>
        <v>0.18405795386901594</v>
      </c>
      <c r="C77" s="2">
        <f t="shared" si="5"/>
        <v>0.1430724541666489</v>
      </c>
      <c r="D77" s="19">
        <f t="shared" si="6"/>
        <v>0.001470276919151432</v>
      </c>
      <c r="J77" s="20"/>
      <c r="K77" s="21"/>
    </row>
    <row r="78" spans="1:11" ht="14.25" customHeight="1">
      <c r="A78" s="2">
        <f t="shared" si="7"/>
        <v>1763.7258815629013</v>
      </c>
      <c r="B78" s="2">
        <f t="shared" si="4"/>
        <v>0.16810479934418254</v>
      </c>
      <c r="C78" s="2">
        <f t="shared" si="5"/>
        <v>0.13413868763274223</v>
      </c>
      <c r="D78" s="19">
        <f t="shared" si="6"/>
        <v>0.0008147667087508377</v>
      </c>
      <c r="J78" s="20"/>
      <c r="K78" s="21"/>
    </row>
    <row r="79" spans="1:11" ht="14.25" customHeight="1">
      <c r="A79" s="2">
        <f t="shared" si="7"/>
        <v>2116.4710578754816</v>
      </c>
      <c r="B79" s="2">
        <f t="shared" si="4"/>
        <v>0.15351617242028687</v>
      </c>
      <c r="C79" s="2">
        <f t="shared" si="5"/>
        <v>0.12596905655536064</v>
      </c>
      <c r="D79" s="19">
        <f t="shared" si="6"/>
        <v>0.0004512689279329818</v>
      </c>
      <c r="J79" s="20"/>
      <c r="K79" s="21"/>
    </row>
    <row r="80" spans="1:11" ht="14.25" customHeight="1">
      <c r="A80" s="2">
        <f t="shared" si="7"/>
        <v>2539.7652694505778</v>
      </c>
      <c r="B80" s="2">
        <f t="shared" si="4"/>
        <v>0.140180913330418</v>
      </c>
      <c r="C80" s="2">
        <f t="shared" si="5"/>
        <v>0.11850131146503406</v>
      </c>
      <c r="D80" s="19">
        <f t="shared" si="6"/>
        <v>0.00024983929456046393</v>
      </c>
      <c r="J80" s="20"/>
      <c r="K80" s="21"/>
    </row>
    <row r="81" spans="1:11" ht="14.25" customHeight="1">
      <c r="A81" s="2">
        <f t="shared" si="7"/>
        <v>3047.718323340693</v>
      </c>
      <c r="B81" s="2">
        <f t="shared" si="4"/>
        <v>0.12799520806178288</v>
      </c>
      <c r="C81" s="2">
        <f t="shared" si="5"/>
        <v>0.11167731651459842</v>
      </c>
      <c r="D81" s="19">
        <f t="shared" si="6"/>
        <v>0.00013827743543100082</v>
      </c>
      <c r="J81" s="20"/>
      <c r="K81" s="21"/>
    </row>
    <row r="82" spans="1:11" ht="14.25" customHeight="1">
      <c r="A82" s="2">
        <f t="shared" si="7"/>
        <v>3657.261988008832</v>
      </c>
      <c r="B82" s="2">
        <f t="shared" si="4"/>
        <v>0.11686265259681358</v>
      </c>
      <c r="C82" s="2">
        <f t="shared" si="5"/>
        <v>0.1054430854542156</v>
      </c>
      <c r="D82" s="19">
        <f t="shared" si="6"/>
        <v>7.651371015435179E-05</v>
      </c>
      <c r="J82" s="20"/>
      <c r="K82" s="21"/>
    </row>
    <row r="83" spans="1:11" ht="14.25" customHeight="1">
      <c r="A83" s="2">
        <f t="shared" si="7"/>
        <v>4388.714385610598</v>
      </c>
      <c r="B83" s="2">
        <f t="shared" si="4"/>
        <v>0.10669410132086411</v>
      </c>
      <c r="C83" s="2">
        <f t="shared" si="5"/>
        <v>0.0997486967396839</v>
      </c>
      <c r="D83" s="19">
        <f t="shared" si="6"/>
        <v>4.2330077563924775E-05</v>
      </c>
      <c r="J83" s="20"/>
      <c r="K83" s="21"/>
    </row>
    <row r="84" spans="1:11" ht="14.25" customHeight="1">
      <c r="A84" s="2">
        <f t="shared" si="7"/>
        <v>5266.457262732717</v>
      </c>
      <c r="B84" s="2">
        <f t="shared" si="4"/>
        <v>0.09740738032072911</v>
      </c>
      <c r="C84" s="2">
        <f t="shared" si="5"/>
        <v>0.09454813297960829</v>
      </c>
      <c r="D84" s="19">
        <f t="shared" si="6"/>
        <v>2.3415281349899272E-05</v>
      </c>
      <c r="J84" s="20"/>
      <c r="K84" s="21"/>
    </row>
    <row r="85" spans="1:11" ht="14.25" customHeight="1">
      <c r="A85" s="2">
        <f t="shared" si="7"/>
        <v>6319.74871527926</v>
      </c>
      <c r="B85" s="2">
        <f t="shared" si="4"/>
        <v>0.0889269214284502</v>
      </c>
      <c r="C85" s="2">
        <f t="shared" si="5"/>
        <v>0.08979907599993212</v>
      </c>
      <c r="D85" s="19">
        <f t="shared" si="6"/>
        <v>1.29510332855001E-05</v>
      </c>
      <c r="J85" s="20"/>
      <c r="K85" s="21"/>
    </row>
    <row r="86" spans="1:11" ht="14.25" customHeight="1">
      <c r="A86" s="2">
        <f t="shared" si="7"/>
        <v>7583.698458335111</v>
      </c>
      <c r="B86" s="2">
        <f t="shared" si="4"/>
        <v>0.08118335510753867</v>
      </c>
      <c r="C86" s="2">
        <f t="shared" si="5"/>
        <v>0.08546267886022166</v>
      </c>
      <c r="D86" s="19">
        <f t="shared" si="6"/>
        <v>7.1626709638296305E-06</v>
      </c>
      <c r="J86" s="20"/>
      <c r="K86" s="21"/>
    </row>
    <row r="87" spans="1:11" ht="14.25" customHeight="1">
      <c r="A87" s="2">
        <f t="shared" si="7"/>
        <v>9100.438150002134</v>
      </c>
      <c r="B87" s="2">
        <f t="shared" si="4"/>
        <v>0.07411308773704042</v>
      </c>
      <c r="C87" s="2">
        <f t="shared" si="5"/>
        <v>0.08150332913274264</v>
      </c>
      <c r="D87" s="19">
        <f t="shared" si="6"/>
        <v>3.961132428349577E-06</v>
      </c>
      <c r="J87" s="20"/>
      <c r="K87" s="21"/>
    </row>
    <row r="88" spans="10:11" ht="14.25" customHeight="1">
      <c r="J88" s="20"/>
      <c r="K88" s="21"/>
    </row>
    <row r="89" spans="10:11" ht="14.25" customHeight="1">
      <c r="J89" s="20"/>
      <c r="K89" s="21"/>
    </row>
    <row r="90" spans="10:11" ht="14.25" customHeight="1">
      <c r="J90" s="20"/>
      <c r="K90" s="21"/>
    </row>
    <row r="91" spans="10:11" ht="14.25" customHeight="1">
      <c r="J91" s="20"/>
      <c r="K91" s="21"/>
    </row>
    <row r="92" spans="10:11" ht="14.25" customHeight="1">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sheetData>
  <conditionalFormatting sqref="E6">
    <cfRule type="cellIs" priority="1" dxfId="0" operator="greaterThanOrEqual" stopIfTrue="1">
      <formula>$E$7</formula>
    </cfRule>
  </conditionalFormatting>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8"/>
  <dimension ref="A1:Q516"/>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151</v>
      </c>
    </row>
    <row r="2" ht="14.25" customHeight="1">
      <c r="A2" s="1"/>
    </row>
    <row r="3" spans="2:17" ht="14.25" customHeight="1">
      <c r="B3" s="3"/>
      <c r="D3" s="3"/>
      <c r="F3" s="27" t="s">
        <v>77</v>
      </c>
      <c r="G3" s="25">
        <v>0.0727</v>
      </c>
      <c r="H3" s="26" t="s">
        <v>14</v>
      </c>
      <c r="I3" s="25">
        <f>G3*1000</f>
        <v>72.7</v>
      </c>
      <c r="J3" s="26" t="s">
        <v>18</v>
      </c>
      <c r="K3" s="6"/>
      <c r="L3" s="6"/>
      <c r="M3" s="6"/>
      <c r="N3" s="6"/>
      <c r="O3" s="6"/>
      <c r="P3" s="6"/>
      <c r="Q3" s="6"/>
    </row>
    <row r="4" spans="6:12" ht="14.25" customHeight="1">
      <c r="F4" s="27" t="s">
        <v>11</v>
      </c>
      <c r="G4" s="25">
        <v>0.001</v>
      </c>
      <c r="H4" s="26" t="s">
        <v>15</v>
      </c>
      <c r="I4" s="25">
        <f>G4*1000/100</f>
        <v>0.01</v>
      </c>
      <c r="J4" s="26" t="s">
        <v>19</v>
      </c>
      <c r="K4" s="6"/>
      <c r="L4"/>
    </row>
    <row r="5" spans="6:12" ht="14.25" customHeight="1">
      <c r="F5" s="28" t="s">
        <v>12</v>
      </c>
      <c r="G5" s="29">
        <v>1</v>
      </c>
      <c r="H5" s="30" t="s">
        <v>16</v>
      </c>
      <c r="I5" s="6"/>
      <c r="J5" s="6"/>
      <c r="K5" s="6"/>
      <c r="L5" s="6"/>
    </row>
    <row r="6" spans="6:12" ht="14.25" customHeight="1">
      <c r="F6" s="31" t="s">
        <v>13</v>
      </c>
      <c r="G6" s="32">
        <v>9.81</v>
      </c>
      <c r="H6" s="26" t="s">
        <v>17</v>
      </c>
      <c r="I6" s="25">
        <f>G6*100</f>
        <v>981</v>
      </c>
      <c r="J6" s="26" t="s">
        <v>20</v>
      </c>
      <c r="K6" s="6"/>
      <c r="L6" s="6"/>
    </row>
    <row r="7" spans="6:12" ht="14.25" customHeight="1">
      <c r="F7" s="27" t="s">
        <v>21</v>
      </c>
      <c r="G7" s="34">
        <f>J7/100</f>
        <v>0.01</v>
      </c>
      <c r="H7" s="17"/>
      <c r="I7" s="6"/>
      <c r="J7" s="6">
        <v>1</v>
      </c>
      <c r="K7" s="6"/>
      <c r="L7" s="6"/>
    </row>
    <row r="8" spans="6:12" ht="14.25" customHeight="1">
      <c r="F8" s="27" t="s">
        <v>22</v>
      </c>
      <c r="G8" s="33">
        <v>0.01</v>
      </c>
      <c r="H8" s="6"/>
      <c r="I8" s="6"/>
      <c r="J8" s="6"/>
      <c r="K8" s="6"/>
      <c r="L8" s="6"/>
    </row>
    <row r="9" spans="11:12" ht="14.25" customHeight="1">
      <c r="K9" s="6"/>
      <c r="L9" s="6"/>
    </row>
    <row r="10" spans="11:12" ht="14.25" customHeight="1">
      <c r="K10" s="6"/>
      <c r="L10" s="6"/>
    </row>
    <row r="11" spans="11:12" ht="14.25" customHeight="1">
      <c r="K11" s="6"/>
      <c r="L11" s="6"/>
    </row>
    <row r="12" spans="11:12" ht="14.25" customHeight="1">
      <c r="K12" s="6"/>
      <c r="L12" s="6"/>
    </row>
    <row r="13" spans="11:12" ht="14.25" customHeight="1">
      <c r="K13" s="6"/>
      <c r="L13" s="6"/>
    </row>
    <row r="14" spans="6:12" ht="14.25" customHeight="1">
      <c r="F14" s="6"/>
      <c r="G14" s="6"/>
      <c r="H14" s="6"/>
      <c r="I14" s="6"/>
      <c r="J14" s="6"/>
      <c r="K14" s="6"/>
      <c r="L14" s="6"/>
    </row>
    <row r="15" spans="4:6" ht="14.25" customHeight="1">
      <c r="D15" s="3"/>
      <c r="F15" s="3"/>
    </row>
    <row r="19" spans="1:2" ht="14.25" customHeight="1">
      <c r="A19" s="4" t="s">
        <v>2</v>
      </c>
      <c r="B19" s="5">
        <v>0.04</v>
      </c>
    </row>
    <row r="20" spans="1:2" ht="14.25" customHeight="1">
      <c r="A20" s="7" t="s">
        <v>3</v>
      </c>
      <c r="B20" s="8">
        <v>0.6</v>
      </c>
    </row>
    <row r="21" spans="1:2" ht="14.25" customHeight="1">
      <c r="A21" s="9" t="s">
        <v>4</v>
      </c>
      <c r="B21" s="10">
        <v>0.02</v>
      </c>
    </row>
    <row r="22" spans="1:2" ht="14.25" customHeight="1">
      <c r="A22" s="11" t="s">
        <v>0</v>
      </c>
      <c r="B22" s="12">
        <v>1.5</v>
      </c>
    </row>
    <row r="23" spans="1:2" ht="14.25" customHeight="1">
      <c r="A23" s="13" t="s">
        <v>1</v>
      </c>
      <c r="B23" s="10">
        <v>0.5</v>
      </c>
    </row>
    <row r="24" spans="1:2" ht="14.25" customHeight="1">
      <c r="A24" s="14" t="s">
        <v>5</v>
      </c>
      <c r="B24" s="15">
        <v>790</v>
      </c>
    </row>
    <row r="39" spans="2:9" ht="14.25" customHeight="1">
      <c r="B39" s="22" t="s">
        <v>23</v>
      </c>
      <c r="C39" s="20" t="s">
        <v>8</v>
      </c>
      <c r="D39" s="22" t="s">
        <v>38</v>
      </c>
      <c r="E39" s="22" t="s">
        <v>37</v>
      </c>
      <c r="F39" s="22" t="s">
        <v>36</v>
      </c>
      <c r="G39" s="22" t="s">
        <v>39</v>
      </c>
      <c r="H39" s="22" t="s">
        <v>39</v>
      </c>
      <c r="I39" s="22" t="s">
        <v>35</v>
      </c>
    </row>
    <row r="40" spans="1:9" ht="14.25" customHeight="1">
      <c r="A40" s="20" t="s">
        <v>3</v>
      </c>
      <c r="B40" s="21">
        <v>0</v>
      </c>
      <c r="C40" s="2">
        <f>$B$20</f>
        <v>0.6</v>
      </c>
      <c r="D40" s="2">
        <f>IF(C40&lt;$B$19,"",1/$B$21*(((C40-$B$19)/($B$20-$B$19))^(-$B$22/($B$22-1))-1)^(1/$B$22))</f>
        <v>0</v>
      </c>
      <c r="I40" s="23">
        <f>$G$7*$I$3^2*$G$8/(2*$I$4*$G$5*$I$6)*SUM(H42:H348)*60*60*24</f>
        <v>52.8351304068029</v>
      </c>
    </row>
    <row r="41" spans="1:9" ht="14.25" customHeight="1">
      <c r="A41" s="20" t="s">
        <v>24</v>
      </c>
      <c r="B41" s="21">
        <v>1</v>
      </c>
      <c r="C41" s="2">
        <f aca="true" t="shared" si="0" ref="C41:C72">$C$40-$G$8*B41</f>
        <v>0.59</v>
      </c>
      <c r="D41" s="2">
        <f aca="true" t="shared" si="1" ref="D41:D72">1/$B$21*(((C41-$B$19)/($B$20-$B$19))^(-$B$22/($B$22-1))-1)^(1/$B$22)</f>
        <v>7.278757861437879</v>
      </c>
      <c r="E41" s="2">
        <f aca="true" t="shared" si="2" ref="E41:E72">2*$I$3/($G$5*$I$6*D41)</f>
        <v>0.020362829597547826</v>
      </c>
      <c r="F41" s="2">
        <f aca="true" t="shared" si="3" ref="F41:F72">$G$8/PI()/E41^2</f>
        <v>7.6766877036310035</v>
      </c>
      <c r="G41" s="2">
        <f aca="true" t="shared" si="4" ref="G41:G51">1/D41^2</f>
        <v>0.01887493460584965</v>
      </c>
      <c r="H41" s="2">
        <f aca="true" t="shared" si="5" ref="H41:H72">IF(C41&gt;$B$19,G41,0)</f>
        <v>0.01887493460584965</v>
      </c>
      <c r="I41" s="23">
        <f>$G$7*$I$3^2*$G$8/(2*$I$4*$G$5*$I$6)*SUM(H43:H349)*60*60*24</f>
        <v>36.24107199078373</v>
      </c>
    </row>
    <row r="42" spans="1:9" ht="14.25" customHeight="1">
      <c r="A42" s="20" t="s">
        <v>25</v>
      </c>
      <c r="B42" s="21">
        <v>2</v>
      </c>
      <c r="C42" s="2">
        <f t="shared" si="0"/>
        <v>0.58</v>
      </c>
      <c r="D42" s="2">
        <f t="shared" si="1"/>
        <v>11.84310209736429</v>
      </c>
      <c r="E42" s="2">
        <f t="shared" si="2"/>
        <v>0.012514973255804068</v>
      </c>
      <c r="F42" s="2">
        <f t="shared" si="3"/>
        <v>20.323115042697616</v>
      </c>
      <c r="G42" s="2">
        <f t="shared" si="4"/>
        <v>0.007129663838006413</v>
      </c>
      <c r="H42" s="2">
        <f t="shared" si="5"/>
        <v>0.007129663838006413</v>
      </c>
      <c r="I42" s="23">
        <f>$G$7*$I$3^2*$G$8/(2*$I$4*$G$5*$I$6)*SUM(H44:H350)*60*60*24</f>
        <v>27.053794881370166</v>
      </c>
    </row>
    <row r="43" spans="1:9" ht="14.25" customHeight="1">
      <c r="A43" s="20" t="s">
        <v>40</v>
      </c>
      <c r="B43" s="21">
        <v>3</v>
      </c>
      <c r="C43" s="2">
        <f t="shared" si="0"/>
        <v>0.57</v>
      </c>
      <c r="D43" s="2">
        <f t="shared" si="1"/>
        <v>15.916529284108272</v>
      </c>
      <c r="E43" s="2">
        <f t="shared" si="2"/>
        <v>0.009312087036603911</v>
      </c>
      <c r="F43" s="2">
        <f t="shared" si="3"/>
        <v>36.7076070741845</v>
      </c>
      <c r="G43" s="2">
        <f t="shared" si="4"/>
        <v>0.003947328359016559</v>
      </c>
      <c r="H43" s="2">
        <f t="shared" si="5"/>
        <v>0.003947328359016559</v>
      </c>
      <c r="I43" s="23">
        <f>$G$7*$I$3^2*$G$8/(2*$I$4*$G$5*$I$6)*SUM(H45:H351)*60*60*24</f>
        <v>21.109953745905553</v>
      </c>
    </row>
    <row r="44" spans="1:9" ht="14.25" customHeight="1">
      <c r="A44" s="20" t="s">
        <v>41</v>
      </c>
      <c r="B44" s="21">
        <v>4</v>
      </c>
      <c r="C44" s="2">
        <f t="shared" si="0"/>
        <v>0.5599999999999999</v>
      </c>
      <c r="D44" s="2">
        <f t="shared" si="1"/>
        <v>19.788286243819712</v>
      </c>
      <c r="E44" s="2">
        <f t="shared" si="2"/>
        <v>0.007490093087801481</v>
      </c>
      <c r="F44" s="2">
        <f t="shared" si="3"/>
        <v>56.738218691916806</v>
      </c>
      <c r="G44" s="2">
        <f t="shared" si="4"/>
        <v>0.002553780885902363</v>
      </c>
      <c r="H44" s="2">
        <f t="shared" si="5"/>
        <v>0.002553780885902363</v>
      </c>
      <c r="I44" s="23">
        <f aca="true" t="shared" si="6" ref="I44:I94">$G$7*$I$3^2*$G$8/(2*$I$4*$G$5*$I$6)*SUM(H46:H352)*60*60*24</f>
        <v>16.924545405882917</v>
      </c>
    </row>
    <row r="45" spans="1:9" ht="14.25" customHeight="1">
      <c r="A45" s="20" t="s">
        <v>42</v>
      </c>
      <c r="B45" s="21">
        <v>5</v>
      </c>
      <c r="C45" s="2">
        <f t="shared" si="0"/>
        <v>0.5499999999999999</v>
      </c>
      <c r="D45" s="2">
        <f t="shared" si="1"/>
        <v>23.58157798006598</v>
      </c>
      <c r="E45" s="2">
        <f t="shared" si="2"/>
        <v>0.006285249703796813</v>
      </c>
      <c r="F45" s="2">
        <f t="shared" si="3"/>
        <v>80.57587953584938</v>
      </c>
      <c r="G45" s="2">
        <f t="shared" si="4"/>
        <v>0.0017982674124096725</v>
      </c>
      <c r="H45" s="2">
        <f t="shared" si="5"/>
        <v>0.0017982674124096725</v>
      </c>
      <c r="I45" s="23">
        <f t="shared" si="6"/>
        <v>13.816840253016816</v>
      </c>
    </row>
    <row r="46" spans="1:9" ht="14.25" customHeight="1">
      <c r="A46" s="20" t="s">
        <v>44</v>
      </c>
      <c r="B46" s="21">
        <v>6</v>
      </c>
      <c r="C46" s="2">
        <f t="shared" si="0"/>
        <v>0.54</v>
      </c>
      <c r="D46" s="2">
        <f t="shared" si="1"/>
        <v>27.366665042894578</v>
      </c>
      <c r="E46" s="2">
        <f t="shared" si="2"/>
        <v>0.0054159359856948905</v>
      </c>
      <c r="F46" s="2">
        <f t="shared" si="3"/>
        <v>108.51832513872121</v>
      </c>
      <c r="G46" s="2">
        <f t="shared" si="4"/>
        <v>0.0013352305079380883</v>
      </c>
      <c r="H46" s="2">
        <f t="shared" si="5"/>
        <v>0.0013352305079380883</v>
      </c>
      <c r="I46" s="23">
        <f t="shared" si="6"/>
        <v>11.424515651416115</v>
      </c>
    </row>
    <row r="47" spans="1:9" ht="14.25" customHeight="1">
      <c r="A47" s="20" t="s">
        <v>45</v>
      </c>
      <c r="B47" s="21">
        <v>7</v>
      </c>
      <c r="C47" s="2">
        <f t="shared" si="0"/>
        <v>0.53</v>
      </c>
      <c r="D47" s="2">
        <f t="shared" si="1"/>
        <v>31.191174428948777</v>
      </c>
      <c r="E47" s="2">
        <f t="shared" si="2"/>
        <v>0.004751860381272166</v>
      </c>
      <c r="F47" s="2">
        <f t="shared" si="3"/>
        <v>140.9687289042435</v>
      </c>
      <c r="G47" s="2">
        <f t="shared" si="4"/>
        <v>0.001027866105638153</v>
      </c>
      <c r="H47" s="2">
        <f t="shared" si="5"/>
        <v>0.001027866105638153</v>
      </c>
      <c r="I47" s="23">
        <f t="shared" si="6"/>
        <v>9.534449841483514</v>
      </c>
    </row>
    <row r="48" spans="1:9" ht="14.25" customHeight="1">
      <c r="A48" s="20" t="s">
        <v>46</v>
      </c>
      <c r="B48" s="21">
        <v>8</v>
      </c>
      <c r="C48" s="2">
        <f t="shared" si="0"/>
        <v>0.52</v>
      </c>
      <c r="D48" s="2">
        <f t="shared" si="1"/>
        <v>35.09161189673142</v>
      </c>
      <c r="E48" s="2">
        <f t="shared" si="2"/>
        <v>0.004223690449171889</v>
      </c>
      <c r="F48" s="2">
        <f t="shared" si="3"/>
        <v>178.42921470868222</v>
      </c>
      <c r="G48" s="2">
        <f t="shared" si="4"/>
        <v>0.000812069809487957</v>
      </c>
      <c r="H48" s="2">
        <f t="shared" si="5"/>
        <v>0.000812069809487957</v>
      </c>
      <c r="I48" s="23">
        <f t="shared" si="6"/>
        <v>8.011944416080738</v>
      </c>
    </row>
    <row r="49" spans="1:9" ht="14.25" customHeight="1">
      <c r="A49" s="20" t="s">
        <v>47</v>
      </c>
      <c r="B49" s="21">
        <v>9</v>
      </c>
      <c r="C49" s="2">
        <f t="shared" si="0"/>
        <v>0.51</v>
      </c>
      <c r="D49" s="2">
        <f t="shared" si="1"/>
        <v>39.09870345956436</v>
      </c>
      <c r="E49" s="2">
        <f t="shared" si="2"/>
        <v>0.0037908189504942363</v>
      </c>
      <c r="F49" s="2">
        <f t="shared" si="3"/>
        <v>221.50525875780392</v>
      </c>
      <c r="G49" s="2">
        <f t="shared" si="4"/>
        <v>0.0006541469002051873</v>
      </c>
      <c r="H49" s="2">
        <f t="shared" si="5"/>
        <v>0.0006541469002051873</v>
      </c>
      <c r="I49" s="23">
        <f t="shared" si="6"/>
        <v>6.767122794045861</v>
      </c>
    </row>
    <row r="50" spans="1:9" ht="14.25" customHeight="1">
      <c r="A50" s="20" t="s">
        <v>48</v>
      </c>
      <c r="B50" s="21">
        <v>10</v>
      </c>
      <c r="C50" s="2">
        <f t="shared" si="0"/>
        <v>0.5</v>
      </c>
      <c r="D50" s="2">
        <f t="shared" si="1"/>
        <v>43.240252263715526</v>
      </c>
      <c r="E50" s="2">
        <f t="shared" si="2"/>
        <v>0.0034277345356434176</v>
      </c>
      <c r="F50" s="2">
        <f t="shared" si="3"/>
        <v>270.9166938012531</v>
      </c>
      <c r="G50" s="2">
        <f t="shared" si="4"/>
        <v>0.000534839608303588</v>
      </c>
      <c r="H50" s="2">
        <f t="shared" si="5"/>
        <v>0.000534839608303588</v>
      </c>
      <c r="I50" s="23">
        <f t="shared" si="6"/>
        <v>5.737417353879901</v>
      </c>
    </row>
    <row r="51" spans="1:9" ht="14.25" customHeight="1">
      <c r="A51" s="20" t="s">
        <v>49</v>
      </c>
      <c r="B51" s="21">
        <v>11</v>
      </c>
      <c r="C51" s="2">
        <f t="shared" si="0"/>
        <v>0.49</v>
      </c>
      <c r="D51" s="2">
        <f t="shared" si="1"/>
        <v>47.54285707283288</v>
      </c>
      <c r="E51" s="2">
        <f t="shared" si="2"/>
        <v>0.0031175262729207192</v>
      </c>
      <c r="F51" s="2">
        <f t="shared" si="3"/>
        <v>327.5140103752864</v>
      </c>
      <c r="G51" s="2">
        <f t="shared" si="4"/>
        <v>0.00044241459542305735</v>
      </c>
      <c r="H51" s="2">
        <f t="shared" si="5"/>
        <v>0.00044241459542305735</v>
      </c>
      <c r="I51" s="23">
        <f t="shared" si="6"/>
        <v>4.877761264242327</v>
      </c>
    </row>
    <row r="52" spans="1:9" ht="14.25" customHeight="1">
      <c r="A52" s="20" t="s">
        <v>78</v>
      </c>
      <c r="B52" s="21">
        <v>12</v>
      </c>
      <c r="C52" s="2">
        <f t="shared" si="0"/>
        <v>0.48</v>
      </c>
      <c r="D52" s="2">
        <f t="shared" si="1"/>
        <v>52.03306498604382</v>
      </c>
      <c r="E52" s="2">
        <f t="shared" si="2"/>
        <v>0.002848498470232828</v>
      </c>
      <c r="F52" s="2">
        <f t="shared" si="3"/>
        <v>392.29985371962255</v>
      </c>
      <c r="G52" s="2">
        <f aca="true" t="shared" si="7" ref="G52:G76">1/D52^2</f>
        <v>0.0003693526189768184</v>
      </c>
      <c r="H52" s="2">
        <f t="shared" si="5"/>
        <v>0.0003693526189768184</v>
      </c>
      <c r="I52" s="23">
        <f t="shared" si="6"/>
        <v>4.154771808536606</v>
      </c>
    </row>
    <row r="53" spans="1:9" ht="14.25" customHeight="1">
      <c r="A53" s="20" t="s">
        <v>79</v>
      </c>
      <c r="B53" s="21">
        <v>13</v>
      </c>
      <c r="C53" s="2">
        <f t="shared" si="0"/>
        <v>0.47</v>
      </c>
      <c r="D53" s="2">
        <f t="shared" si="1"/>
        <v>56.73823200949004</v>
      </c>
      <c r="E53" s="2">
        <f t="shared" si="2"/>
        <v>0.0026122792474302073</v>
      </c>
      <c r="F53" s="2">
        <f t="shared" si="3"/>
        <v>466.4562609489448</v>
      </c>
      <c r="G53" s="2">
        <f t="shared" si="7"/>
        <v>0.0003106335803078112</v>
      </c>
      <c r="H53" s="2">
        <f t="shared" si="5"/>
        <v>0.0003106335803078112</v>
      </c>
      <c r="I53" s="23">
        <f t="shared" si="6"/>
        <v>3.543135949596306</v>
      </c>
    </row>
    <row r="54" spans="1:9" ht="14.25" customHeight="1">
      <c r="A54" s="20" t="s">
        <v>80</v>
      </c>
      <c r="B54" s="21">
        <v>14</v>
      </c>
      <c r="C54" s="2">
        <f t="shared" si="0"/>
        <v>0.45999999999999996</v>
      </c>
      <c r="D54" s="2">
        <f t="shared" si="1"/>
        <v>61.68723593659324</v>
      </c>
      <c r="E54" s="2">
        <f t="shared" si="2"/>
        <v>0.0024027029865079184</v>
      </c>
      <c r="F54" s="2">
        <f t="shared" si="3"/>
        <v>551.3786565723902</v>
      </c>
      <c r="G54" s="2">
        <f t="shared" si="7"/>
        <v>0.000262790328694092</v>
      </c>
      <c r="H54" s="2">
        <f t="shared" si="5"/>
        <v>0.000262790328694092</v>
      </c>
      <c r="I54" s="23">
        <f t="shared" si="6"/>
        <v>3.0232753671642416</v>
      </c>
    </row>
    <row r="55" spans="1:9" ht="14.25" customHeight="1">
      <c r="A55" s="20" t="s">
        <v>81</v>
      </c>
      <c r="B55" s="21">
        <v>15</v>
      </c>
      <c r="C55" s="2">
        <f t="shared" si="0"/>
        <v>0.44999999999999996</v>
      </c>
      <c r="D55" s="2">
        <f t="shared" si="1"/>
        <v>66.91112564411232</v>
      </c>
      <c r="E55" s="2">
        <f t="shared" si="2"/>
        <v>0.002215119004313344</v>
      </c>
      <c r="F55" s="2">
        <f t="shared" si="3"/>
        <v>648.7180786746287</v>
      </c>
      <c r="G55" s="2">
        <f t="shared" si="7"/>
        <v>0.00022335893380927334</v>
      </c>
      <c r="H55" s="2">
        <f t="shared" si="5"/>
        <v>0.00022335893380927334</v>
      </c>
      <c r="I55" s="23">
        <f t="shared" si="6"/>
        <v>2.5797876681381147</v>
      </c>
    </row>
    <row r="56" spans="1:9" ht="14.25" customHeight="1">
      <c r="A56" s="20" t="s">
        <v>82</v>
      </c>
      <c r="B56" s="21">
        <v>16</v>
      </c>
      <c r="C56" s="2">
        <f t="shared" si="0"/>
        <v>0.43999999999999995</v>
      </c>
      <c r="D56" s="2">
        <f t="shared" si="1"/>
        <v>72.44376138075125</v>
      </c>
      <c r="E56" s="2">
        <f t="shared" si="2"/>
        <v>0.0020459471345679334</v>
      </c>
      <c r="F56" s="2">
        <f t="shared" si="3"/>
        <v>760.4336240995374</v>
      </c>
      <c r="G56" s="2">
        <f t="shared" si="7"/>
        <v>0.00019054520184735938</v>
      </c>
      <c r="H56" s="2">
        <f t="shared" si="5"/>
        <v>0.00019054520184735938</v>
      </c>
      <c r="I56" s="23">
        <f t="shared" si="6"/>
        <v>2.2003760447331513</v>
      </c>
    </row>
    <row r="57" spans="1:9" ht="14.25" customHeight="1">
      <c r="A57" s="20" t="s">
        <v>83</v>
      </c>
      <c r="B57" s="21">
        <v>17</v>
      </c>
      <c r="C57" s="2">
        <f t="shared" si="0"/>
        <v>0.42999999999999994</v>
      </c>
      <c r="D57" s="2">
        <f t="shared" si="1"/>
        <v>78.32248618970702</v>
      </c>
      <c r="E57" s="2">
        <f t="shared" si="2"/>
        <v>0.00189238254842004</v>
      </c>
      <c r="F57" s="2">
        <f t="shared" si="3"/>
        <v>888.8577402755203</v>
      </c>
      <c r="G57" s="2">
        <f t="shared" si="7"/>
        <v>0.00016301481309107058</v>
      </c>
      <c r="H57" s="2">
        <f t="shared" si="5"/>
        <v>0.00016301481309107058</v>
      </c>
      <c r="I57" s="23">
        <f t="shared" si="6"/>
        <v>1.875096170359507</v>
      </c>
    </row>
    <row r="58" spans="1:9" ht="14.25" customHeight="1">
      <c r="A58" s="20" t="s">
        <v>84</v>
      </c>
      <c r="B58" s="21">
        <v>18</v>
      </c>
      <c r="C58" s="2">
        <f t="shared" si="0"/>
        <v>0.42</v>
      </c>
      <c r="D58" s="2">
        <f t="shared" si="1"/>
        <v>84.58886229067288</v>
      </c>
      <c r="E58" s="2">
        <f t="shared" si="2"/>
        <v>0.0017521941068902884</v>
      </c>
      <c r="F58" s="2">
        <f t="shared" si="3"/>
        <v>1036.7778174514922</v>
      </c>
      <c r="G58" s="2">
        <f t="shared" si="7"/>
        <v>0.0001397570202184082</v>
      </c>
      <c r="H58" s="2">
        <f t="shared" si="5"/>
        <v>0.0001397570202184082</v>
      </c>
      <c r="I58" s="23">
        <f t="shared" si="6"/>
        <v>1.5958148697383654</v>
      </c>
    </row>
    <row r="59" spans="1:9" ht="14.25" customHeight="1">
      <c r="A59" s="20" t="s">
        <v>85</v>
      </c>
      <c r="B59" s="21">
        <v>19</v>
      </c>
      <c r="C59" s="2">
        <f t="shared" si="0"/>
        <v>0.41</v>
      </c>
      <c r="D59" s="2">
        <f t="shared" si="1"/>
        <v>91.28950483293227</v>
      </c>
      <c r="E59" s="2">
        <f t="shared" si="2"/>
        <v>0.0016235831959601438</v>
      </c>
      <c r="F59" s="2">
        <f t="shared" si="3"/>
        <v>1207.5386266962732</v>
      </c>
      <c r="G59" s="2">
        <f t="shared" si="7"/>
        <v>0.00011999365916102542</v>
      </c>
      <c r="H59" s="2">
        <f t="shared" si="5"/>
        <v>0.00011999365916102542</v>
      </c>
      <c r="I59" s="23">
        <f t="shared" si="6"/>
        <v>1.3558136090841626</v>
      </c>
    </row>
    <row r="60" spans="1:9" ht="14.25" customHeight="1">
      <c r="A60" s="20" t="s">
        <v>86</v>
      </c>
      <c r="B60" s="21">
        <v>20</v>
      </c>
      <c r="C60" s="2">
        <f t="shared" si="0"/>
        <v>0.39999999999999997</v>
      </c>
      <c r="D60" s="2">
        <f t="shared" si="1"/>
        <v>98.4770474628614</v>
      </c>
      <c r="E60" s="2">
        <f t="shared" si="2"/>
        <v>0.0015050827561637428</v>
      </c>
      <c r="F60" s="2">
        <f t="shared" si="3"/>
        <v>1405.1716115771042</v>
      </c>
      <c r="G60" s="2">
        <f t="shared" si="7"/>
        <v>0.00010311692693032646</v>
      </c>
      <c r="H60" s="2">
        <f t="shared" si="5"/>
        <v>0.00010311692693032646</v>
      </c>
      <c r="I60" s="23">
        <f t="shared" si="6"/>
        <v>1.149493155865925</v>
      </c>
    </row>
    <row r="61" spans="1:9" ht="14.25" customHeight="1">
      <c r="A61" s="20" t="s">
        <v>87</v>
      </c>
      <c r="B61" s="21">
        <v>21</v>
      </c>
      <c r="C61" s="2">
        <f t="shared" si="0"/>
        <v>0.39</v>
      </c>
      <c r="D61" s="2">
        <f t="shared" si="1"/>
        <v>106.21127908549357</v>
      </c>
      <c r="E61" s="2">
        <f t="shared" si="2"/>
        <v>0.0013954836745254358</v>
      </c>
      <c r="F61" s="2">
        <f t="shared" si="3"/>
        <v>1634.5590219176152</v>
      </c>
      <c r="G61" s="2">
        <f t="shared" si="7"/>
        <v>8.86459139453873E-05</v>
      </c>
      <c r="H61" s="2">
        <f t="shared" si="5"/>
        <v>8.86459139453873E-05</v>
      </c>
      <c r="I61" s="23">
        <f t="shared" si="6"/>
        <v>0.972150271607843</v>
      </c>
    </row>
    <row r="62" spans="1:9" ht="14.25" customHeight="1">
      <c r="A62" s="20" t="s">
        <v>88</v>
      </c>
      <c r="B62" s="21">
        <v>22</v>
      </c>
      <c r="C62" s="2">
        <f t="shared" si="0"/>
        <v>0.38</v>
      </c>
      <c r="D62" s="2">
        <f t="shared" si="1"/>
        <v>114.56049905272853</v>
      </c>
      <c r="E62" s="2">
        <f t="shared" si="2"/>
        <v>0.0012937802055667724</v>
      </c>
      <c r="F62" s="2">
        <f t="shared" si="3"/>
        <v>1901.643585108398</v>
      </c>
      <c r="G62" s="2">
        <f t="shared" si="7"/>
        <v>7.619565492200574E-05</v>
      </c>
      <c r="H62" s="2">
        <f t="shared" si="5"/>
        <v>7.619565492200574E-05</v>
      </c>
      <c r="I62" s="23">
        <f t="shared" si="6"/>
        <v>0.8198065751289949</v>
      </c>
    </row>
    <row r="63" spans="1:9" ht="14.25" customHeight="1">
      <c r="A63" s="20" t="s">
        <v>89</v>
      </c>
      <c r="B63" s="21">
        <v>23</v>
      </c>
      <c r="C63" s="2">
        <f t="shared" si="0"/>
        <v>0.37</v>
      </c>
      <c r="D63" s="2">
        <f t="shared" si="1"/>
        <v>123.6031492061299</v>
      </c>
      <c r="E63" s="2">
        <f t="shared" si="2"/>
        <v>0.0011991288811508745</v>
      </c>
      <c r="F63" s="2">
        <f t="shared" si="3"/>
        <v>2213.698144450806</v>
      </c>
      <c r="G63" s="2">
        <f t="shared" si="7"/>
        <v>6.545471375977173E-05</v>
      </c>
      <c r="H63" s="2">
        <f t="shared" si="5"/>
        <v>6.545471375977173E-05</v>
      </c>
      <c r="I63" s="23">
        <f t="shared" si="6"/>
        <v>0.68907577675485</v>
      </c>
    </row>
    <row r="64" spans="1:9" ht="14.25" customHeight="1">
      <c r="A64" s="20" t="s">
        <v>90</v>
      </c>
      <c r="B64" s="21">
        <v>24</v>
      </c>
      <c r="C64" s="2">
        <f t="shared" si="0"/>
        <v>0.36</v>
      </c>
      <c r="D64" s="2">
        <f t="shared" si="1"/>
        <v>133.42979656142825</v>
      </c>
      <c r="E64" s="2">
        <f t="shared" si="2"/>
        <v>0.0011108171475479663</v>
      </c>
      <c r="F64" s="2">
        <f t="shared" si="3"/>
        <v>2579.674892283843</v>
      </c>
      <c r="G64" s="2">
        <f t="shared" si="7"/>
        <v>5.6168697392439575E-05</v>
      </c>
      <c r="H64" s="2">
        <f t="shared" si="5"/>
        <v>5.6168697392439575E-05</v>
      </c>
      <c r="I64" s="23">
        <f t="shared" si="6"/>
        <v>0.5770595306822932</v>
      </c>
    </row>
    <row r="65" spans="1:9" ht="14.25" customHeight="1">
      <c r="A65" s="20" t="s">
        <v>91</v>
      </c>
      <c r="B65" s="21">
        <v>25</v>
      </c>
      <c r="C65" s="2">
        <f t="shared" si="0"/>
        <v>0.35</v>
      </c>
      <c r="D65" s="2">
        <f t="shared" si="1"/>
        <v>144.14556122683277</v>
      </c>
      <c r="E65" s="2">
        <f t="shared" si="2"/>
        <v>0.0010282391268436827</v>
      </c>
      <c r="F65" s="2">
        <f t="shared" si="3"/>
        <v>3010.661132096485</v>
      </c>
      <c r="G65" s="2">
        <f t="shared" si="7"/>
        <v>4.8127959952326426E-05</v>
      </c>
      <c r="H65" s="2">
        <f t="shared" si="5"/>
        <v>4.8127959952326426E-05</v>
      </c>
      <c r="I65" s="23">
        <f t="shared" si="6"/>
        <v>0.48126490445233444</v>
      </c>
    </row>
    <row r="66" spans="1:9" ht="14.25" customHeight="1">
      <c r="A66" s="20" t="s">
        <v>92</v>
      </c>
      <c r="B66" s="21">
        <v>26</v>
      </c>
      <c r="C66" s="2">
        <f t="shared" si="0"/>
        <v>0.33999999999999997</v>
      </c>
      <c r="D66" s="2">
        <f t="shared" si="1"/>
        <v>155.87311228482105</v>
      </c>
      <c r="E66" s="2">
        <f t="shared" si="2"/>
        <v>0.0009508766703999692</v>
      </c>
      <c r="F66" s="2">
        <f t="shared" si="3"/>
        <v>3520.4788774313733</v>
      </c>
      <c r="G66" s="2">
        <f t="shared" si="7"/>
        <v>4.1158314945291094E-05</v>
      </c>
      <c r="H66" s="2">
        <f t="shared" si="5"/>
        <v>4.1158314945291094E-05</v>
      </c>
      <c r="I66" s="23">
        <f t="shared" si="6"/>
        <v>0.3995383678226221</v>
      </c>
    </row>
    <row r="67" spans="1:9" ht="14.25" customHeight="1">
      <c r="A67" s="20" t="s">
        <v>93</v>
      </c>
      <c r="B67" s="21">
        <v>27</v>
      </c>
      <c r="C67" s="2">
        <f t="shared" si="0"/>
        <v>0.32999999999999996</v>
      </c>
      <c r="D67" s="2">
        <f t="shared" si="1"/>
        <v>168.75639256997817</v>
      </c>
      <c r="E67" s="2">
        <f t="shared" si="2"/>
        <v>0.0008782843941915293</v>
      </c>
      <c r="F67" s="2">
        <f t="shared" si="3"/>
        <v>4126.480481388655</v>
      </c>
      <c r="G67" s="2">
        <f t="shared" si="7"/>
        <v>3.5113937664089996E-05</v>
      </c>
      <c r="H67" s="2">
        <f t="shared" si="5"/>
        <v>3.5113937664089996E-05</v>
      </c>
      <c r="I67" s="23">
        <f t="shared" si="6"/>
        <v>0.3300125404454185</v>
      </c>
    </row>
    <row r="68" spans="1:9" ht="14.25" customHeight="1">
      <c r="A68" s="20" t="s">
        <v>94</v>
      </c>
      <c r="B68" s="21">
        <v>28</v>
      </c>
      <c r="C68" s="2">
        <f t="shared" si="0"/>
        <v>0.31999999999999995</v>
      </c>
      <c r="D68" s="2">
        <f t="shared" si="1"/>
        <v>182.96528550114854</v>
      </c>
      <c r="E68" s="2">
        <f t="shared" si="2"/>
        <v>0.000810077745667993</v>
      </c>
      <c r="F68" s="2">
        <f t="shared" si="3"/>
        <v>4850.614094591546</v>
      </c>
      <c r="G68" s="2">
        <f t="shared" si="7"/>
        <v>2.9871883347126307E-05</v>
      </c>
      <c r="H68" s="2">
        <f t="shared" si="5"/>
        <v>2.9871883347126307E-05</v>
      </c>
      <c r="I68" s="23">
        <f t="shared" si="6"/>
        <v>0.2710628905765709</v>
      </c>
    </row>
    <row r="69" spans="1:9" ht="14.25" customHeight="1">
      <c r="A69" s="20" t="s">
        <v>95</v>
      </c>
      <c r="B69" s="21">
        <v>29</v>
      </c>
      <c r="C69" s="2">
        <f t="shared" si="0"/>
        <v>0.31</v>
      </c>
      <c r="D69" s="2">
        <f t="shared" si="1"/>
        <v>198.7015091439843</v>
      </c>
      <c r="E69" s="2">
        <f t="shared" si="2"/>
        <v>0.0007459234036660985</v>
      </c>
      <c r="F69" s="2">
        <f t="shared" si="3"/>
        <v>5720.86448289868</v>
      </c>
      <c r="G69" s="2">
        <f t="shared" si="7"/>
        <v>2.5327811702008383E-05</v>
      </c>
      <c r="H69" s="2">
        <f t="shared" si="5"/>
        <v>2.5327811702008383E-05</v>
      </c>
      <c r="I69" s="23">
        <f t="shared" si="6"/>
        <v>0.22127226498046276</v>
      </c>
    </row>
    <row r="70" spans="1:9" ht="14.25" customHeight="1">
      <c r="A70" s="20" t="s">
        <v>96</v>
      </c>
      <c r="B70" s="21">
        <v>30</v>
      </c>
      <c r="C70" s="2">
        <f t="shared" si="0"/>
        <v>0.3</v>
      </c>
      <c r="D70" s="2">
        <f t="shared" si="1"/>
        <v>216.20612298535175</v>
      </c>
      <c r="E70" s="2">
        <f t="shared" si="2"/>
        <v>0.0006855314917437052</v>
      </c>
      <c r="F70" s="2">
        <f t="shared" si="3"/>
        <v>6773.221950446094</v>
      </c>
      <c r="G70" s="2">
        <f t="shared" si="7"/>
        <v>2.1392622219625058E-05</v>
      </c>
      <c r="H70" s="2">
        <f t="shared" si="5"/>
        <v>2.1392622219625058E-05</v>
      </c>
      <c r="I70" s="23">
        <f t="shared" si="6"/>
        <v>0.1794016329418962</v>
      </c>
    </row>
    <row r="71" spans="1:9" ht="14.25" customHeight="1">
      <c r="A71" s="20" t="s">
        <v>97</v>
      </c>
      <c r="B71" s="21">
        <v>31</v>
      </c>
      <c r="C71" s="2">
        <f t="shared" si="0"/>
        <v>0.29</v>
      </c>
      <c r="D71" s="2">
        <f t="shared" si="1"/>
        <v>235.76917415449512</v>
      </c>
      <c r="E71" s="2">
        <f t="shared" si="2"/>
        <v>0.0006286492139856584</v>
      </c>
      <c r="F71" s="2">
        <f t="shared" si="3"/>
        <v>8054.403332229894</v>
      </c>
      <c r="G71" s="2">
        <f t="shared" si="7"/>
        <v>1.798978427312629E-05</v>
      </c>
      <c r="H71" s="2">
        <f t="shared" si="5"/>
        <v>1.798978427312629E-05</v>
      </c>
      <c r="I71" s="23">
        <f t="shared" si="6"/>
        <v>0.14436579884376322</v>
      </c>
    </row>
    <row r="72" spans="1:9" ht="14.25" customHeight="1">
      <c r="A72" s="20" t="s">
        <v>98</v>
      </c>
      <c r="B72" s="21">
        <v>32</v>
      </c>
      <c r="C72" s="2">
        <f t="shared" si="0"/>
        <v>0.27999999999999997</v>
      </c>
      <c r="D72" s="2">
        <f t="shared" si="1"/>
        <v>257.7422111496787</v>
      </c>
      <c r="E72" s="2">
        <f t="shared" si="2"/>
        <v>0.0005750556160480735</v>
      </c>
      <c r="F72" s="2">
        <f t="shared" si="3"/>
        <v>9625.658041118928</v>
      </c>
      <c r="G72" s="2">
        <f t="shared" si="7"/>
        <v>1.5053202365655815E-05</v>
      </c>
      <c r="H72" s="2">
        <f t="shared" si="5"/>
        <v>1.5053202365655815E-05</v>
      </c>
      <c r="I72" s="23">
        <f t="shared" si="6"/>
        <v>0.11521311522767491</v>
      </c>
    </row>
    <row r="73" spans="1:9" ht="14.25" customHeight="1">
      <c r="A73" s="20" t="s">
        <v>99</v>
      </c>
      <c r="B73" s="21">
        <v>33</v>
      </c>
      <c r="C73" s="2">
        <f aca="true" t="shared" si="8" ref="C73:C95">$C$40-$G$8*B73</f>
        <v>0.26999999999999996</v>
      </c>
      <c r="D73" s="2">
        <f aca="true" t="shared" si="9" ref="D73:D95">1/$B$21*(((C73-$B$19)/($B$20-$B$19))^(-$B$22/($B$22-1))-1)^(1/$B$22)</f>
        <v>282.55468383169</v>
      </c>
      <c r="E73" s="2">
        <f aca="true" t="shared" si="10" ref="E73:E95">2*$I$3/($G$5*$I$6*D73)</f>
        <v>0.0005245572432363548</v>
      </c>
      <c r="F73" s="2">
        <f aca="true" t="shared" si="11" ref="F73:F95">$G$8/PI()/E73^2</f>
        <v>11568.16170528775</v>
      </c>
      <c r="G73" s="2">
        <f t="shared" si="7"/>
        <v>1.2525497316426141E-05</v>
      </c>
      <c r="H73" s="2">
        <f aca="true" t="shared" si="12" ref="H73:H95">IF(C73&gt;$B$19,G73,0)</f>
        <v>1.2525497316426141E-05</v>
      </c>
      <c r="I73" s="23">
        <f t="shared" si="6"/>
        <v>0.09110843746391513</v>
      </c>
    </row>
    <row r="74" spans="1:9" ht="14.25" customHeight="1">
      <c r="A74" s="20" t="s">
        <v>100</v>
      </c>
      <c r="B74" s="21">
        <v>34</v>
      </c>
      <c r="C74" s="2">
        <f t="shared" si="8"/>
        <v>0.25999999999999995</v>
      </c>
      <c r="D74" s="2">
        <f t="shared" si="9"/>
        <v>310.73567416711</v>
      </c>
      <c r="E74" s="2">
        <f t="shared" si="10"/>
        <v>0.00047698451879252935</v>
      </c>
      <c r="F74" s="2">
        <f t="shared" si="11"/>
        <v>13990.768162063167</v>
      </c>
      <c r="G74" s="2">
        <f t="shared" si="7"/>
        <v>1.0356613498068137E-05</v>
      </c>
      <c r="H74" s="2">
        <f t="shared" si="12"/>
        <v>1.0356613498068137E-05</v>
      </c>
      <c r="I74" s="23">
        <f t="shared" si="6"/>
        <v>0.07131872033306488</v>
      </c>
    </row>
    <row r="75" spans="1:9" ht="14.25" customHeight="1">
      <c r="A75" s="20" t="s">
        <v>101</v>
      </c>
      <c r="B75" s="21">
        <v>35</v>
      </c>
      <c r="C75" s="2">
        <f t="shared" si="8"/>
        <v>0.24999999999999994</v>
      </c>
      <c r="D75" s="2">
        <f t="shared" si="9"/>
        <v>342.9430352494708</v>
      </c>
      <c r="E75" s="2">
        <f t="shared" si="10"/>
        <v>0.00043218870418655007</v>
      </c>
      <c r="F75" s="2">
        <f t="shared" si="11"/>
        <v>17041.322823572526</v>
      </c>
      <c r="G75" s="2">
        <f t="shared" si="7"/>
        <v>8.502683735040544E-06</v>
      </c>
      <c r="H75" s="2">
        <f t="shared" si="12"/>
        <v>8.502683735040544E-06</v>
      </c>
      <c r="I75" s="23">
        <f t="shared" si="6"/>
        <v>0.05520077895346871</v>
      </c>
    </row>
    <row r="76" spans="1:9" ht="14.25" customHeight="1">
      <c r="A76" s="20" t="s">
        <v>102</v>
      </c>
      <c r="B76" s="21">
        <v>36</v>
      </c>
      <c r="C76" s="2">
        <f t="shared" si="8"/>
        <v>0.24</v>
      </c>
      <c r="D76" s="2">
        <f t="shared" si="9"/>
        <v>380.002973199267</v>
      </c>
      <c r="E76" s="2">
        <f t="shared" si="10"/>
        <v>0.0003900393324989834</v>
      </c>
      <c r="F76" s="2">
        <f t="shared" si="11"/>
        <v>20923.451095368873</v>
      </c>
      <c r="G76" s="2">
        <f t="shared" si="7"/>
        <v>6.925099388964391E-06</v>
      </c>
      <c r="H76" s="2">
        <f t="shared" si="12"/>
        <v>6.925099388964391E-06</v>
      </c>
      <c r="I76" s="23">
        <f t="shared" si="6"/>
        <v>0.042190830938501844</v>
      </c>
    </row>
    <row r="77" spans="1:9" ht="14.25" customHeight="1">
      <c r="A77" s="20" t="s">
        <v>103</v>
      </c>
      <c r="B77" s="21">
        <v>37</v>
      </c>
      <c r="C77" s="2">
        <f t="shared" si="8"/>
        <v>0.22999999999999998</v>
      </c>
      <c r="D77" s="2">
        <f t="shared" si="9"/>
        <v>422.9645798661371</v>
      </c>
      <c r="E77" s="2">
        <f t="shared" si="10"/>
        <v>0.0003504220283910763</v>
      </c>
      <c r="F77" s="2">
        <f t="shared" si="11"/>
        <v>25921.92972839186</v>
      </c>
      <c r="G77" s="2">
        <f aca="true" t="shared" si="13" ref="G77:G85">1/D77^2</f>
        <v>5.589745050379565E-06</v>
      </c>
      <c r="H77" s="2">
        <f t="shared" si="12"/>
        <v>5.589745050379565E-06</v>
      </c>
      <c r="I77" s="23">
        <f t="shared" si="6"/>
        <v>0.03179551025191914</v>
      </c>
    </row>
    <row r="78" spans="1:9" ht="14.25" customHeight="1">
      <c r="A78" s="20" t="s">
        <v>104</v>
      </c>
      <c r="B78" s="21">
        <v>38</v>
      </c>
      <c r="C78" s="2">
        <f t="shared" si="8"/>
        <v>0.21999999999999997</v>
      </c>
      <c r="D78" s="2">
        <f t="shared" si="9"/>
        <v>473.17613750830344</v>
      </c>
      <c r="E78" s="2">
        <f t="shared" si="10"/>
        <v>0.0003132366454377049</v>
      </c>
      <c r="F78" s="2">
        <f t="shared" si="11"/>
        <v>32441.80419073401</v>
      </c>
      <c r="G78" s="2">
        <f t="shared" si="13"/>
        <v>4.466366221301301E-06</v>
      </c>
      <c r="H78" s="2">
        <f t="shared" si="12"/>
        <v>4.466366221301301E-06</v>
      </c>
      <c r="I78" s="23">
        <f t="shared" si="6"/>
        <v>0.023584100959324235</v>
      </c>
    </row>
    <row r="79" spans="1:9" ht="14.25" customHeight="1">
      <c r="A79" s="20" t="s">
        <v>105</v>
      </c>
      <c r="B79" s="21">
        <v>39</v>
      </c>
      <c r="C79" s="2">
        <f t="shared" si="8"/>
        <v>0.20999999999999996</v>
      </c>
      <c r="D79" s="2">
        <f t="shared" si="9"/>
        <v>532.3937281919752</v>
      </c>
      <c r="E79" s="2">
        <f t="shared" si="10"/>
        <v>0.00027839566502336046</v>
      </c>
      <c r="F79" s="2">
        <f t="shared" si="11"/>
        <v>41070.04610257705</v>
      </c>
      <c r="G79" s="2">
        <f t="shared" si="13"/>
        <v>3.528045184893848E-06</v>
      </c>
      <c r="H79" s="2">
        <f t="shared" si="12"/>
        <v>3.528045184893848E-06</v>
      </c>
      <c r="I79" s="23">
        <f t="shared" si="6"/>
        <v>0.01718178466619267</v>
      </c>
    </row>
    <row r="80" spans="1:9" ht="14.25" customHeight="1">
      <c r="A80" s="20" t="s">
        <v>106</v>
      </c>
      <c r="B80" s="21">
        <v>40</v>
      </c>
      <c r="C80" s="2">
        <f t="shared" si="8"/>
        <v>0.19999999999999996</v>
      </c>
      <c r="D80" s="2">
        <f t="shared" si="9"/>
        <v>602.9387797929954</v>
      </c>
      <c r="E80" s="2">
        <f t="shared" si="10"/>
        <v>0.00024582281150527024</v>
      </c>
      <c r="F80" s="2">
        <f t="shared" si="11"/>
        <v>52675.147989142366</v>
      </c>
      <c r="G80" s="2">
        <f t="shared" si="13"/>
        <v>2.750765473415132E-06</v>
      </c>
      <c r="H80" s="2">
        <f t="shared" si="12"/>
        <v>2.750765473415132E-06</v>
      </c>
      <c r="I80" s="23">
        <f t="shared" si="6"/>
        <v>0.012263731669538504</v>
      </c>
    </row>
    <row r="81" spans="1:9" ht="14.25" customHeight="1">
      <c r="A81" s="20" t="s">
        <v>107</v>
      </c>
      <c r="B81" s="21">
        <v>41</v>
      </c>
      <c r="C81" s="2">
        <f t="shared" si="8"/>
        <v>0.18999999999999995</v>
      </c>
      <c r="D81" s="2">
        <f t="shared" si="9"/>
        <v>687.9314721042522</v>
      </c>
      <c r="E81" s="2">
        <f t="shared" si="10"/>
        <v>0.00021545184662202782</v>
      </c>
      <c r="F81" s="2">
        <f t="shared" si="11"/>
        <v>68572.45305071637</v>
      </c>
      <c r="G81" s="2">
        <f t="shared" si="13"/>
        <v>2.113049365295407E-06</v>
      </c>
      <c r="H81" s="2">
        <f t="shared" si="12"/>
        <v>2.113049365295407E-06</v>
      </c>
      <c r="I81" s="23">
        <f t="shared" si="6"/>
        <v>0.0085498948302778</v>
      </c>
    </row>
    <row r="82" spans="1:9" ht="14.25" customHeight="1">
      <c r="A82" s="20" t="s">
        <v>108</v>
      </c>
      <c r="B82" s="21">
        <v>42</v>
      </c>
      <c r="C82" s="2">
        <f t="shared" si="8"/>
        <v>0.18</v>
      </c>
      <c r="D82" s="2">
        <f t="shared" si="9"/>
        <v>791.6448131856114</v>
      </c>
      <c r="E82" s="2">
        <f t="shared" si="10"/>
        <v>0.000187225512686483</v>
      </c>
      <c r="F82" s="2">
        <f t="shared" si="11"/>
        <v>90807.1551902469</v>
      </c>
      <c r="G82" s="2">
        <f t="shared" si="13"/>
        <v>1.5956559600617018E-06</v>
      </c>
      <c r="H82" s="2">
        <f t="shared" si="12"/>
        <v>1.5956559600617018E-06</v>
      </c>
      <c r="I82" s="23">
        <f t="shared" si="6"/>
        <v>0.005800388493567376</v>
      </c>
    </row>
    <row r="83" spans="1:9" ht="14.25" customHeight="1">
      <c r="A83" s="20" t="s">
        <v>109</v>
      </c>
      <c r="B83" s="21">
        <v>43</v>
      </c>
      <c r="C83" s="2">
        <f t="shared" si="8"/>
        <v>0.16999999999999998</v>
      </c>
      <c r="D83" s="2">
        <f t="shared" si="9"/>
        <v>920.056331030565</v>
      </c>
      <c r="E83" s="2">
        <f t="shared" si="10"/>
        <v>0.0001610945993363827</v>
      </c>
      <c r="F83" s="2">
        <f t="shared" si="11"/>
        <v>122655.82141464998</v>
      </c>
      <c r="G83" s="2">
        <f t="shared" si="13"/>
        <v>1.1813298115360294E-06</v>
      </c>
      <c r="H83" s="2">
        <f t="shared" si="12"/>
        <v>1.1813298115360294E-06</v>
      </c>
      <c r="I83" s="23">
        <f t="shared" si="6"/>
        <v>0.0038113536696204376</v>
      </c>
    </row>
    <row r="84" spans="1:9" ht="14.25" customHeight="1">
      <c r="A84" s="20" t="s">
        <v>110</v>
      </c>
      <c r="B84" s="21">
        <v>44</v>
      </c>
      <c r="C84" s="2">
        <f t="shared" si="8"/>
        <v>0.15999999999999998</v>
      </c>
      <c r="D84" s="2">
        <f t="shared" si="9"/>
        <v>1081.7342663540032</v>
      </c>
      <c r="E84" s="2">
        <f t="shared" si="10"/>
        <v>0.00013701711281998593</v>
      </c>
      <c r="F84" s="2">
        <f t="shared" si="11"/>
        <v>169551.05770586527</v>
      </c>
      <c r="G84" s="2">
        <f t="shared" si="13"/>
        <v>8.545920052408667E-07</v>
      </c>
      <c r="H84" s="2">
        <f t="shared" si="12"/>
        <v>8.545920052408667E-07</v>
      </c>
      <c r="I84" s="23">
        <f t="shared" si="6"/>
        <v>0.0024112260845012366</v>
      </c>
    </row>
    <row r="85" spans="1:9" ht="14.25" customHeight="1">
      <c r="A85" s="20" t="s">
        <v>111</v>
      </c>
      <c r="B85" s="21">
        <v>45</v>
      </c>
      <c r="C85" s="2">
        <f t="shared" si="8"/>
        <v>0.14999999999999997</v>
      </c>
      <c r="D85" s="2">
        <f t="shared" si="9"/>
        <v>1289.311850790354</v>
      </c>
      <c r="E85" s="2">
        <f t="shared" si="10"/>
        <v>0.0001149575301921052</v>
      </c>
      <c r="F85" s="2">
        <f t="shared" si="11"/>
        <v>240865.87665172745</v>
      </c>
      <c r="G85" s="2">
        <f t="shared" si="13"/>
        <v>6.015670646659288E-07</v>
      </c>
      <c r="H85" s="2">
        <f t="shared" si="12"/>
        <v>6.015670646659288E-07</v>
      </c>
      <c r="I85" s="23">
        <f t="shared" si="6"/>
        <v>0.0014573363569325665</v>
      </c>
    </row>
    <row r="86" spans="1:9" ht="14.25" customHeight="1">
      <c r="A86" s="20" t="s">
        <v>112</v>
      </c>
      <c r="B86" s="21">
        <v>46</v>
      </c>
      <c r="C86" s="2">
        <f t="shared" si="8"/>
        <v>0.13999999999999996</v>
      </c>
      <c r="D86" s="2">
        <f t="shared" si="9"/>
        <v>1562.0419556538966</v>
      </c>
      <c r="E86" s="2">
        <f t="shared" si="10"/>
        <v>9.488612356268335E-05</v>
      </c>
      <c r="F86" s="2">
        <f t="shared" si="11"/>
        <v>353545.0151807242</v>
      </c>
      <c r="G86" s="2">
        <f aca="true" t="shared" si="14" ref="G86:G95">1/D86^2</f>
        <v>4.0984025279354386E-07</v>
      </c>
      <c r="H86" s="2">
        <f t="shared" si="12"/>
        <v>4.0984025279354386E-07</v>
      </c>
      <c r="I86" s="23">
        <f t="shared" si="6"/>
        <v>0.0008327820327063599</v>
      </c>
    </row>
    <row r="87" spans="1:9" ht="14.25" customHeight="1">
      <c r="A87" s="20" t="s">
        <v>113</v>
      </c>
      <c r="B87" s="21">
        <v>47</v>
      </c>
      <c r="C87" s="2">
        <f t="shared" si="8"/>
        <v>0.12999999999999995</v>
      </c>
      <c r="D87" s="2">
        <f t="shared" si="9"/>
        <v>1930.4416130826678</v>
      </c>
      <c r="E87" s="2">
        <f t="shared" si="10"/>
        <v>7.677834181039489E-05</v>
      </c>
      <c r="F87" s="2">
        <f t="shared" si="11"/>
        <v>539973.7783127688</v>
      </c>
      <c r="G87" s="2">
        <f t="shared" si="14"/>
        <v>2.6834076804306735E-07</v>
      </c>
      <c r="H87" s="2">
        <f t="shared" si="12"/>
        <v>2.6834076804306735E-07</v>
      </c>
      <c r="I87" s="23">
        <f t="shared" si="6"/>
        <v>0.0004435199717115015</v>
      </c>
    </row>
    <row r="88" spans="1:9" ht="14.25" customHeight="1">
      <c r="A88" s="20" t="s">
        <v>114</v>
      </c>
      <c r="B88" s="21">
        <v>48</v>
      </c>
      <c r="C88" s="2">
        <f t="shared" si="8"/>
        <v>0.12</v>
      </c>
      <c r="D88" s="2">
        <f t="shared" si="9"/>
        <v>2445.2357783840894</v>
      </c>
      <c r="E88" s="2">
        <f t="shared" si="10"/>
        <v>6.061423905396083E-05</v>
      </c>
      <c r="F88" s="2">
        <f t="shared" si="11"/>
        <v>866364.8272120126</v>
      </c>
      <c r="G88" s="2">
        <f t="shared" si="14"/>
        <v>1.6724706941514236E-07</v>
      </c>
      <c r="H88" s="2">
        <f t="shared" si="12"/>
        <v>1.6724706941514236E-07</v>
      </c>
      <c r="I88" s="23">
        <f t="shared" si="6"/>
        <v>0.00021563500007939975</v>
      </c>
    </row>
    <row r="89" spans="1:9" ht="14.25" customHeight="1">
      <c r="A89" s="20" t="s">
        <v>115</v>
      </c>
      <c r="B89" s="21">
        <v>49</v>
      </c>
      <c r="C89" s="2">
        <f t="shared" si="8"/>
        <v>0.10999999999999999</v>
      </c>
      <c r="D89" s="2">
        <f t="shared" si="9"/>
        <v>3195.83197581781</v>
      </c>
      <c r="E89" s="2">
        <f t="shared" si="10"/>
        <v>4.6377940747758746E-05</v>
      </c>
      <c r="F89" s="2">
        <f t="shared" si="11"/>
        <v>1479882.397679338</v>
      </c>
      <c r="G89" s="2">
        <f t="shared" si="14"/>
        <v>9.791114390088295E-08</v>
      </c>
      <c r="H89" s="2">
        <f t="shared" si="12"/>
        <v>9.791114390088295E-08</v>
      </c>
      <c r="I89" s="23">
        <f t="shared" si="6"/>
        <v>9.274710595505591E-05</v>
      </c>
    </row>
    <row r="90" spans="1:9" ht="14.25" customHeight="1">
      <c r="A90" s="20" t="s">
        <v>116</v>
      </c>
      <c r="B90" s="21">
        <v>50</v>
      </c>
      <c r="C90" s="2">
        <f t="shared" si="8"/>
        <v>0.09999999999999998</v>
      </c>
      <c r="D90" s="2">
        <f t="shared" si="9"/>
        <v>4351.983394466806</v>
      </c>
      <c r="E90" s="2">
        <f t="shared" si="10"/>
        <v>3.405713960276501E-05</v>
      </c>
      <c r="F90" s="2">
        <f t="shared" si="11"/>
        <v>2744313.9181208843</v>
      </c>
      <c r="G90" s="2">
        <f t="shared" si="14"/>
        <v>5.279898099076825E-08</v>
      </c>
      <c r="H90" s="2">
        <f t="shared" si="12"/>
        <v>5.279898099076825E-08</v>
      </c>
      <c r="I90" s="23">
        <f t="shared" si="6"/>
        <v>3.352501028604445E-05</v>
      </c>
    </row>
    <row r="91" spans="1:9" ht="14.25" customHeight="1">
      <c r="A91" s="20" t="s">
        <v>117</v>
      </c>
      <c r="B91" s="21">
        <v>51</v>
      </c>
      <c r="C91" s="2">
        <f t="shared" si="8"/>
        <v>0.08999999999999997</v>
      </c>
      <c r="D91" s="2">
        <f t="shared" si="9"/>
        <v>6269.023456346479</v>
      </c>
      <c r="E91" s="2">
        <f t="shared" si="10"/>
        <v>2.3642614682550565E-05</v>
      </c>
      <c r="F91" s="2">
        <f t="shared" si="11"/>
        <v>5694546.172408896</v>
      </c>
      <c r="G91" s="2">
        <f t="shared" si="14"/>
        <v>2.544486847742448E-08</v>
      </c>
      <c r="H91" s="2">
        <f t="shared" si="12"/>
        <v>2.544486847742448E-08</v>
      </c>
      <c r="I91" s="23">
        <f t="shared" si="6"/>
        <v>9.27887770149487E-06</v>
      </c>
    </row>
    <row r="92" spans="1:9" ht="14.25" customHeight="1">
      <c r="A92" s="20" t="s">
        <v>118</v>
      </c>
      <c r="B92" s="21">
        <v>52</v>
      </c>
      <c r="C92" s="2">
        <f t="shared" si="8"/>
        <v>0.07999999999999996</v>
      </c>
      <c r="D92" s="2">
        <f t="shared" si="9"/>
        <v>9797.618902979966</v>
      </c>
      <c r="E92" s="2">
        <f t="shared" si="10"/>
        <v>1.512776803037225E-05</v>
      </c>
      <c r="F92" s="2">
        <f t="shared" si="11"/>
        <v>13909144.356857331</v>
      </c>
      <c r="G92" s="2">
        <f t="shared" si="14"/>
        <v>1.0417389788907453E-08</v>
      </c>
      <c r="H92" s="2">
        <f t="shared" si="12"/>
        <v>1.0417389788907453E-08</v>
      </c>
      <c r="I92" s="23">
        <f t="shared" si="6"/>
        <v>1.6094051516390615E-06</v>
      </c>
    </row>
    <row r="93" spans="1:9" ht="14.25" customHeight="1">
      <c r="A93" s="20" t="s">
        <v>119</v>
      </c>
      <c r="B93" s="21">
        <v>53</v>
      </c>
      <c r="C93" s="2">
        <f t="shared" si="8"/>
        <v>0.06999999999999995</v>
      </c>
      <c r="D93" s="2">
        <f t="shared" si="9"/>
        <v>17420.43646217612</v>
      </c>
      <c r="E93" s="2">
        <f t="shared" si="10"/>
        <v>8.508174082554321E-06</v>
      </c>
      <c r="F93" s="2">
        <f t="shared" si="11"/>
        <v>43972118.815438345</v>
      </c>
      <c r="G93" s="2">
        <f t="shared" si="14"/>
        <v>3.2952011933683048E-09</v>
      </c>
      <c r="H93" s="2">
        <f t="shared" si="12"/>
        <v>3.2952011933683048E-09</v>
      </c>
      <c r="I93" s="23">
        <f t="shared" si="6"/>
        <v>9.46661558238359E-08</v>
      </c>
    </row>
    <row r="94" spans="1:9" ht="14.25" customHeight="1">
      <c r="A94" s="20" t="s">
        <v>120</v>
      </c>
      <c r="B94" s="21">
        <v>54</v>
      </c>
      <c r="C94" s="2">
        <f t="shared" si="8"/>
        <v>0.05999999999999994</v>
      </c>
      <c r="D94" s="2">
        <f t="shared" si="9"/>
        <v>39198.80951477106</v>
      </c>
      <c r="E94" s="2">
        <f t="shared" si="10"/>
        <v>3.7811379439577044E-06</v>
      </c>
      <c r="F94" s="2">
        <f t="shared" si="11"/>
        <v>222640969.26645768</v>
      </c>
      <c r="G94" s="2">
        <f t="shared" si="14"/>
        <v>6.50810041264921E-10</v>
      </c>
      <c r="H94" s="2">
        <f t="shared" si="12"/>
        <v>6.50810041264921E-10</v>
      </c>
      <c r="I94" s="23">
        <f t="shared" si="6"/>
        <v>0</v>
      </c>
    </row>
    <row r="95" spans="1:9" ht="14.25" customHeight="1">
      <c r="A95" s="20" t="s">
        <v>169</v>
      </c>
      <c r="B95" s="21">
        <v>55</v>
      </c>
      <c r="C95" s="2">
        <f t="shared" si="8"/>
        <v>0.04999999999999993</v>
      </c>
      <c r="D95" s="2">
        <f t="shared" si="9"/>
        <v>156799.40476134184</v>
      </c>
      <c r="E95" s="2">
        <f t="shared" si="10"/>
        <v>9.452593665126792E-07</v>
      </c>
      <c r="F95" s="2">
        <f t="shared" si="11"/>
        <v>3562444838.6979756</v>
      </c>
      <c r="G95" s="2">
        <f t="shared" si="14"/>
        <v>4.0673465823690664E-11</v>
      </c>
      <c r="H95" s="2">
        <f t="shared" si="12"/>
        <v>4.0673465823690664E-11</v>
      </c>
      <c r="I95" s="2">
        <f>IF(H96=0,"",$G$7*$I$3^2*$G$8/(2*$I$4*$G$5*$I$6)*SUM(L97:L403)*60*60*24)</f>
      </c>
    </row>
    <row r="96" spans="1:2" ht="14.25" customHeight="1">
      <c r="A96" s="20"/>
      <c r="B96" s="21"/>
    </row>
    <row r="97" spans="1:2" ht="14.25" customHeight="1">
      <c r="A97" s="20"/>
      <c r="B97" s="21"/>
    </row>
    <row r="98" spans="1:2" ht="14.25" customHeight="1">
      <c r="A98" s="20"/>
      <c r="B98" s="21"/>
    </row>
    <row r="99" spans="1:2" ht="14.25" customHeight="1">
      <c r="A99" s="20"/>
      <c r="B99" s="21"/>
    </row>
    <row r="100" spans="1:2" ht="14.25" customHeight="1">
      <c r="A100" s="20"/>
      <c r="B100" s="21"/>
    </row>
    <row r="101" spans="1:2" ht="14.25" customHeight="1">
      <c r="A101" s="20"/>
      <c r="B101" s="21"/>
    </row>
    <row r="102" spans="1:2" ht="14.25" customHeight="1">
      <c r="A102" s="20"/>
      <c r="B102" s="21"/>
    </row>
    <row r="104" spans="5:6" ht="14.25" customHeight="1">
      <c r="E104" s="20"/>
      <c r="F104" s="21"/>
    </row>
    <row r="105" spans="5:6" ht="14.25" customHeight="1">
      <c r="E105" s="20"/>
      <c r="F105" s="21"/>
    </row>
    <row r="106" spans="5:6" ht="14.25" customHeight="1">
      <c r="E106" s="20"/>
      <c r="F106" s="21"/>
    </row>
    <row r="107" spans="5:6" ht="14.25" customHeight="1">
      <c r="E107" s="20"/>
      <c r="F107" s="21"/>
    </row>
    <row r="108" spans="5:6" ht="14.25" customHeight="1">
      <c r="E108" s="20"/>
      <c r="F108" s="21"/>
    </row>
    <row r="109" spans="5:6" ht="14.25" customHeight="1">
      <c r="E109" s="20"/>
      <c r="F109" s="21"/>
    </row>
    <row r="110" spans="5:6" ht="14.25" customHeight="1">
      <c r="E110" s="20"/>
      <c r="F110" s="21"/>
    </row>
    <row r="111" spans="5:6" ht="14.25" customHeight="1">
      <c r="E111" s="20"/>
      <c r="F111" s="21"/>
    </row>
    <row r="112" spans="5:6" ht="14.25" customHeight="1">
      <c r="E112" s="20"/>
      <c r="F112" s="21"/>
    </row>
    <row r="113" spans="5:6" ht="14.25" customHeight="1">
      <c r="E113" s="20"/>
      <c r="F113" s="21"/>
    </row>
    <row r="114" spans="5:6" ht="14.25" customHeight="1">
      <c r="E114" s="20"/>
      <c r="F114" s="21"/>
    </row>
    <row r="115" spans="5:6" ht="14.25" customHeight="1">
      <c r="E115" s="20"/>
      <c r="F115" s="21"/>
    </row>
    <row r="116" spans="5:6" ht="14.25" customHeight="1">
      <c r="E116" s="20"/>
      <c r="F116" s="21"/>
    </row>
    <row r="117" spans="5:6" ht="14.25" customHeight="1">
      <c r="E117" s="20"/>
      <c r="F117" s="21"/>
    </row>
    <row r="118" spans="5:6" ht="14.25" customHeight="1">
      <c r="E118" s="20"/>
      <c r="F118" s="21"/>
    </row>
    <row r="119" spans="5:6" ht="14.25" customHeight="1">
      <c r="E119" s="20"/>
      <c r="F119" s="21"/>
    </row>
    <row r="120" spans="5:6" ht="14.25" customHeight="1">
      <c r="E120" s="20"/>
      <c r="F120" s="21"/>
    </row>
    <row r="121" spans="5:6" ht="14.25" customHeight="1">
      <c r="E121" s="20"/>
      <c r="F121" s="21"/>
    </row>
    <row r="122" spans="5:6" ht="14.25" customHeight="1">
      <c r="E122" s="20"/>
      <c r="F122" s="21"/>
    </row>
    <row r="123" spans="5:6" ht="14.25" customHeight="1">
      <c r="E123" s="20"/>
      <c r="F123" s="21"/>
    </row>
    <row r="124" spans="5:6" ht="14.25" customHeight="1">
      <c r="E124" s="20"/>
      <c r="F124" s="21"/>
    </row>
    <row r="125" spans="5:6" ht="14.25" customHeight="1">
      <c r="E125" s="20"/>
      <c r="F125" s="21"/>
    </row>
    <row r="126" spans="5:6" ht="14.25" customHeight="1">
      <c r="E126" s="20"/>
      <c r="F126" s="21"/>
    </row>
    <row r="127" spans="5:6" ht="14.25" customHeight="1">
      <c r="E127" s="20"/>
      <c r="F127" s="21"/>
    </row>
    <row r="128" spans="5:6" ht="14.25" customHeight="1">
      <c r="E128" s="20"/>
      <c r="F128" s="21"/>
    </row>
    <row r="129" spans="5:6" ht="14.25" customHeight="1">
      <c r="E129" s="20"/>
      <c r="F129" s="21"/>
    </row>
    <row r="130" spans="5:6" ht="14.25" customHeight="1">
      <c r="E130" s="20"/>
      <c r="F130" s="21"/>
    </row>
    <row r="131" spans="5:6" ht="14.25" customHeight="1">
      <c r="E131" s="20"/>
      <c r="F131" s="21"/>
    </row>
    <row r="132" spans="5:6" ht="14.25" customHeight="1">
      <c r="E132" s="20"/>
      <c r="F132" s="21"/>
    </row>
    <row r="133" spans="5:6" ht="14.25" customHeight="1">
      <c r="E133" s="20"/>
      <c r="F133" s="21"/>
    </row>
    <row r="134" spans="5:6" ht="14.25" customHeight="1">
      <c r="E134" s="20"/>
      <c r="F134" s="21"/>
    </row>
    <row r="135" spans="5:6" ht="14.25" customHeight="1">
      <c r="E135" s="20"/>
      <c r="F135" s="21"/>
    </row>
    <row r="136" spans="5:6" ht="14.25" customHeight="1">
      <c r="E136" s="20"/>
      <c r="F136" s="21"/>
    </row>
    <row r="137" spans="5:6" ht="14.25" customHeight="1">
      <c r="E137" s="20"/>
      <c r="F137" s="21"/>
    </row>
    <row r="138" spans="5:6" ht="14.25" customHeight="1">
      <c r="E138" s="20"/>
      <c r="F138" s="21"/>
    </row>
    <row r="139" spans="5:6" ht="14.25" customHeight="1">
      <c r="E139" s="20"/>
      <c r="F139" s="21"/>
    </row>
    <row r="140" spans="5:6" ht="14.25" customHeight="1">
      <c r="E140" s="20"/>
      <c r="F140" s="21"/>
    </row>
    <row r="141" spans="5:6" ht="14.25" customHeight="1">
      <c r="E141" s="20"/>
      <c r="F141" s="21"/>
    </row>
    <row r="142" spans="5:6" ht="14.25" customHeight="1">
      <c r="E142" s="20"/>
      <c r="F142" s="21"/>
    </row>
    <row r="143" spans="5:6" ht="14.25" customHeight="1">
      <c r="E143" s="20"/>
      <c r="F143" s="21"/>
    </row>
    <row r="144" spans="5:6" ht="14.25" customHeight="1">
      <c r="E144" s="20"/>
      <c r="F144" s="21"/>
    </row>
    <row r="145" spans="5:6" ht="14.25" customHeight="1">
      <c r="E145" s="20"/>
      <c r="F145" s="21"/>
    </row>
    <row r="146" spans="5:6" ht="14.25" customHeight="1">
      <c r="E146" s="20"/>
      <c r="F146" s="21"/>
    </row>
    <row r="147" spans="5:6" ht="14.25" customHeight="1">
      <c r="E147" s="20"/>
      <c r="F147" s="21"/>
    </row>
    <row r="148" spans="5:6" ht="14.25" customHeight="1">
      <c r="E148" s="20"/>
      <c r="F148" s="21"/>
    </row>
    <row r="149" spans="5:6" ht="14.25" customHeight="1">
      <c r="E149" s="20"/>
      <c r="F149" s="21"/>
    </row>
    <row r="150" spans="5:6" ht="14.25" customHeight="1">
      <c r="E150" s="20"/>
      <c r="F150" s="21"/>
    </row>
    <row r="151" spans="5:6" ht="14.25" customHeight="1">
      <c r="E151" s="20"/>
      <c r="F151" s="21"/>
    </row>
    <row r="152" spans="5:6" ht="14.25" customHeight="1">
      <c r="E152" s="20"/>
      <c r="F152" s="21"/>
    </row>
    <row r="153" spans="5:6" ht="14.25" customHeight="1">
      <c r="E153" s="20"/>
      <c r="F153" s="21"/>
    </row>
    <row r="154" spans="5:6" ht="14.25" customHeight="1">
      <c r="E154" s="20"/>
      <c r="F154" s="21"/>
    </row>
    <row r="155" spans="5:6" ht="14.25" customHeight="1">
      <c r="E155" s="20"/>
      <c r="F155" s="21"/>
    </row>
    <row r="156" spans="5:6" ht="14.25" customHeight="1">
      <c r="E156" s="20"/>
      <c r="F156" s="21"/>
    </row>
    <row r="157" spans="5:6" ht="14.25" customHeight="1">
      <c r="E157" s="20"/>
      <c r="F157" s="21"/>
    </row>
    <row r="158" spans="5:6" ht="14.25" customHeight="1">
      <c r="E158" s="20"/>
      <c r="F158" s="21"/>
    </row>
    <row r="159" spans="5:6" ht="14.25" customHeight="1">
      <c r="E159" s="20"/>
      <c r="F159" s="21"/>
    </row>
    <row r="160" spans="5:6" ht="14.25" customHeight="1">
      <c r="E160" s="20"/>
      <c r="F160" s="21"/>
    </row>
    <row r="161" spans="5:6" ht="14.25" customHeight="1">
      <c r="E161" s="20"/>
      <c r="F161" s="21"/>
    </row>
    <row r="162" spans="5:6" ht="14.25" customHeight="1">
      <c r="E162" s="20"/>
      <c r="F162" s="21"/>
    </row>
    <row r="163" spans="5:6" ht="14.25" customHeight="1">
      <c r="E163" s="20"/>
      <c r="F163" s="21"/>
    </row>
    <row r="164" spans="5:6" ht="14.25" customHeight="1">
      <c r="E164" s="20"/>
      <c r="F164" s="21"/>
    </row>
    <row r="165" spans="5:6" ht="14.25" customHeight="1">
      <c r="E165" s="20"/>
      <c r="F165" s="21"/>
    </row>
    <row r="166" spans="5:6" ht="14.25" customHeight="1">
      <c r="E166" s="20"/>
      <c r="F166" s="21"/>
    </row>
    <row r="167" spans="5:6" ht="14.25" customHeight="1">
      <c r="E167" s="20"/>
      <c r="F167" s="21"/>
    </row>
    <row r="168" spans="5:6" ht="14.25" customHeight="1">
      <c r="E168" s="20"/>
      <c r="F168" s="21"/>
    </row>
    <row r="169" spans="5:6" ht="14.25" customHeight="1">
      <c r="E169" s="20"/>
      <c r="F169" s="21"/>
    </row>
    <row r="170" spans="5:6" ht="14.25" customHeight="1">
      <c r="E170" s="20"/>
      <c r="F170" s="21"/>
    </row>
    <row r="171" spans="5:6" ht="14.25" customHeight="1">
      <c r="E171" s="20"/>
      <c r="F171" s="21"/>
    </row>
    <row r="172" spans="5:6" ht="14.25" customHeight="1">
      <c r="E172" s="20"/>
      <c r="F172" s="21"/>
    </row>
    <row r="173" spans="5:6" ht="14.25" customHeight="1">
      <c r="E173" s="20"/>
      <c r="F173" s="21"/>
    </row>
    <row r="174" spans="5:6" ht="14.25" customHeight="1">
      <c r="E174" s="20"/>
      <c r="F174" s="21"/>
    </row>
    <row r="175" spans="5:6" ht="14.25" customHeight="1">
      <c r="E175" s="20"/>
      <c r="F175" s="21"/>
    </row>
    <row r="176" spans="5:6" ht="14.25" customHeight="1">
      <c r="E176" s="20"/>
      <c r="F176" s="21"/>
    </row>
    <row r="177" spans="5:6" ht="14.25" customHeight="1">
      <c r="E177" s="20"/>
      <c r="F177" s="21"/>
    </row>
    <row r="178" spans="5:6" ht="14.25" customHeight="1">
      <c r="E178" s="20"/>
      <c r="F178" s="21"/>
    </row>
    <row r="179" spans="5:6" ht="14.25" customHeight="1">
      <c r="E179" s="20"/>
      <c r="F179" s="21"/>
    </row>
    <row r="180" spans="5:6" ht="14.25" customHeight="1">
      <c r="E180" s="20"/>
      <c r="F180" s="21"/>
    </row>
    <row r="181" spans="5:6" ht="14.25" customHeight="1">
      <c r="E181" s="20"/>
      <c r="F181" s="21"/>
    </row>
    <row r="182" spans="5:6" ht="14.25" customHeight="1">
      <c r="E182" s="20"/>
      <c r="F182" s="21"/>
    </row>
    <row r="183" spans="5:6" ht="14.25" customHeight="1">
      <c r="E183" s="20"/>
      <c r="F183" s="21"/>
    </row>
    <row r="184" spans="5:6" ht="14.25" customHeight="1">
      <c r="E184" s="20"/>
      <c r="F184" s="21"/>
    </row>
    <row r="185" spans="5:6" ht="14.25" customHeight="1">
      <c r="E185" s="20"/>
      <c r="F185" s="21"/>
    </row>
    <row r="186" spans="5:6" ht="14.25" customHeight="1">
      <c r="E186" s="20"/>
      <c r="F186" s="21"/>
    </row>
    <row r="187" spans="5:6" ht="14.25" customHeight="1">
      <c r="E187" s="20"/>
      <c r="F187" s="21"/>
    </row>
    <row r="188" spans="5:6" ht="14.25" customHeight="1">
      <c r="E188" s="20"/>
      <c r="F188" s="21"/>
    </row>
    <row r="189" spans="5:6" ht="14.25" customHeight="1">
      <c r="E189" s="20"/>
      <c r="F189" s="21"/>
    </row>
    <row r="190" spans="5:6" ht="14.25" customHeight="1">
      <c r="E190" s="20"/>
      <c r="F190" s="21"/>
    </row>
    <row r="191" spans="5:6" ht="14.25" customHeight="1">
      <c r="E191" s="20"/>
      <c r="F191" s="21"/>
    </row>
    <row r="192" spans="5:6" ht="14.25" customHeight="1">
      <c r="E192" s="20"/>
      <c r="F192" s="21"/>
    </row>
    <row r="193" spans="5:6" ht="14.25" customHeight="1">
      <c r="E193" s="20"/>
      <c r="F193" s="21"/>
    </row>
    <row r="194" spans="5:6" ht="14.25" customHeight="1">
      <c r="E194" s="20"/>
      <c r="F194" s="21"/>
    </row>
    <row r="195" spans="5:6" ht="14.25" customHeight="1">
      <c r="E195" s="20"/>
      <c r="F195" s="21"/>
    </row>
    <row r="196" spans="5:6" ht="14.25" customHeight="1">
      <c r="E196" s="20"/>
      <c r="F196" s="21"/>
    </row>
    <row r="197" spans="5:6" ht="14.25" customHeight="1">
      <c r="E197" s="20"/>
      <c r="F197" s="21"/>
    </row>
    <row r="198" spans="5:6" ht="14.25" customHeight="1">
      <c r="E198" s="20"/>
      <c r="F198" s="21"/>
    </row>
    <row r="199" spans="5:6" ht="14.25" customHeight="1">
      <c r="E199" s="20"/>
      <c r="F199" s="21"/>
    </row>
    <row r="200" spans="5:6" ht="14.25" customHeight="1">
      <c r="E200" s="20"/>
      <c r="F200" s="21"/>
    </row>
    <row r="201" spans="5:6" ht="14.25" customHeight="1">
      <c r="E201" s="20"/>
      <c r="F201" s="21"/>
    </row>
    <row r="202" spans="5:6" ht="14.25" customHeight="1">
      <c r="E202" s="20"/>
      <c r="F202" s="21"/>
    </row>
    <row r="203" spans="5:6" ht="14.25" customHeight="1">
      <c r="E203" s="20"/>
      <c r="F203" s="21"/>
    </row>
    <row r="204" spans="5:6" ht="14.25" customHeight="1">
      <c r="E204" s="20"/>
      <c r="F204" s="21"/>
    </row>
    <row r="205" spans="5:6" ht="14.25" customHeight="1">
      <c r="E205" s="20"/>
      <c r="F205" s="21"/>
    </row>
    <row r="206" spans="5:6" ht="14.25" customHeight="1">
      <c r="E206" s="20"/>
      <c r="F206" s="21"/>
    </row>
    <row r="207" spans="5:6" ht="14.25" customHeight="1">
      <c r="E207" s="20"/>
      <c r="F207" s="21"/>
    </row>
    <row r="208" spans="5:6" ht="14.25" customHeight="1">
      <c r="E208" s="20"/>
      <c r="F208" s="21"/>
    </row>
    <row r="209" spans="5:6" ht="14.25" customHeight="1">
      <c r="E209" s="20"/>
      <c r="F209" s="21"/>
    </row>
    <row r="210" spans="5:6" ht="14.25" customHeight="1">
      <c r="E210" s="20"/>
      <c r="F210" s="21"/>
    </row>
    <row r="211" spans="5:6" ht="14.25" customHeight="1">
      <c r="E211" s="20"/>
      <c r="F211" s="21"/>
    </row>
    <row r="212" spans="5:6" ht="14.25" customHeight="1">
      <c r="E212" s="20"/>
      <c r="F212" s="21"/>
    </row>
    <row r="213" spans="5:6" ht="14.25" customHeight="1">
      <c r="E213" s="20"/>
      <c r="F213" s="21"/>
    </row>
    <row r="214" spans="5:6" ht="14.25" customHeight="1">
      <c r="E214" s="20"/>
      <c r="F214" s="21"/>
    </row>
    <row r="215" spans="5:6" ht="14.25" customHeight="1">
      <c r="E215" s="20"/>
      <c r="F215" s="21"/>
    </row>
    <row r="216" spans="5:6" ht="14.25" customHeight="1">
      <c r="E216" s="20"/>
      <c r="F216" s="21"/>
    </row>
    <row r="217" spans="5:6" ht="14.25" customHeight="1">
      <c r="E217" s="20"/>
      <c r="F217" s="21"/>
    </row>
    <row r="218" spans="5:6" ht="14.25" customHeight="1">
      <c r="E218" s="20"/>
      <c r="F218" s="21"/>
    </row>
    <row r="219" spans="5:6" ht="14.25" customHeight="1">
      <c r="E219" s="20"/>
      <c r="F219" s="21"/>
    </row>
    <row r="220" spans="5:6" ht="14.25" customHeight="1">
      <c r="E220" s="20"/>
      <c r="F220" s="21"/>
    </row>
    <row r="221" spans="5:6" ht="14.25" customHeight="1">
      <c r="E221" s="20"/>
      <c r="F221" s="21"/>
    </row>
    <row r="222" spans="5:6" ht="14.25" customHeight="1">
      <c r="E222" s="20"/>
      <c r="F222" s="21"/>
    </row>
    <row r="223" spans="5:6" ht="14.25" customHeight="1">
      <c r="E223" s="20"/>
      <c r="F223" s="21"/>
    </row>
    <row r="224" spans="5:6" ht="14.25" customHeight="1">
      <c r="E224" s="20"/>
      <c r="F224" s="21"/>
    </row>
    <row r="225" spans="5:6" ht="14.25" customHeight="1">
      <c r="E225" s="20"/>
      <c r="F225" s="21"/>
    </row>
    <row r="226" spans="5:6" ht="14.25" customHeight="1">
      <c r="E226" s="20"/>
      <c r="F226" s="21"/>
    </row>
    <row r="227" spans="5:6" ht="14.25" customHeight="1">
      <c r="E227" s="20"/>
      <c r="F227" s="21"/>
    </row>
    <row r="228" spans="5:6" ht="14.25" customHeight="1">
      <c r="E228" s="20"/>
      <c r="F228" s="21"/>
    </row>
    <row r="229" spans="5:6" ht="14.25" customHeight="1">
      <c r="E229" s="20"/>
      <c r="F229" s="21"/>
    </row>
    <row r="230" spans="5:6" ht="14.25" customHeight="1">
      <c r="E230" s="20"/>
      <c r="F230" s="21"/>
    </row>
    <row r="231" spans="5:6" ht="14.25" customHeight="1">
      <c r="E231" s="20"/>
      <c r="F231" s="21"/>
    </row>
    <row r="232" spans="5:6" ht="14.25" customHeight="1">
      <c r="E232" s="20"/>
      <c r="F232" s="21"/>
    </row>
    <row r="233" spans="5:6" ht="14.25" customHeight="1">
      <c r="E233" s="20"/>
      <c r="F233" s="21"/>
    </row>
    <row r="234" spans="5:6" ht="14.25" customHeight="1">
      <c r="E234" s="20"/>
      <c r="F234" s="21"/>
    </row>
    <row r="235" spans="5:6" ht="14.25" customHeight="1">
      <c r="E235" s="20"/>
      <c r="F235" s="21"/>
    </row>
    <row r="236" spans="5:6" ht="14.25" customHeight="1">
      <c r="E236" s="20"/>
      <c r="F236" s="21"/>
    </row>
    <row r="237" spans="5:6" ht="14.25" customHeight="1">
      <c r="E237" s="20"/>
      <c r="F237" s="21"/>
    </row>
    <row r="238" spans="5:6" ht="14.25" customHeight="1">
      <c r="E238" s="20"/>
      <c r="F238" s="21"/>
    </row>
    <row r="239" spans="5:6" ht="14.25" customHeight="1">
      <c r="E239" s="20"/>
      <c r="F239" s="21"/>
    </row>
    <row r="240" spans="5:6" ht="14.25" customHeight="1">
      <c r="E240" s="20"/>
      <c r="F240" s="21"/>
    </row>
    <row r="241" spans="5:6" ht="14.25" customHeight="1">
      <c r="E241" s="20"/>
      <c r="F241" s="21"/>
    </row>
    <row r="242" spans="5:6" ht="14.25" customHeight="1">
      <c r="E242" s="20"/>
      <c r="F242" s="21"/>
    </row>
    <row r="243" spans="5:6" ht="14.25" customHeight="1">
      <c r="E243" s="20"/>
      <c r="F243" s="21"/>
    </row>
    <row r="244" spans="5:6" ht="14.25" customHeight="1">
      <c r="E244" s="20"/>
      <c r="F244" s="21"/>
    </row>
    <row r="245" spans="5:6" ht="14.25" customHeight="1">
      <c r="E245" s="20"/>
      <c r="F245" s="21"/>
    </row>
    <row r="246" spans="5:6" ht="14.25" customHeight="1">
      <c r="E246" s="20"/>
      <c r="F246" s="21"/>
    </row>
    <row r="247" spans="5:6" ht="14.25" customHeight="1">
      <c r="E247" s="20"/>
      <c r="F247" s="21"/>
    </row>
    <row r="248" spans="5:6" ht="14.25" customHeight="1">
      <c r="E248" s="20"/>
      <c r="F248" s="21"/>
    </row>
    <row r="249" spans="5:6" ht="14.25" customHeight="1">
      <c r="E249" s="20"/>
      <c r="F249" s="21"/>
    </row>
    <row r="250" spans="5:6" ht="14.25" customHeight="1">
      <c r="E250" s="20"/>
      <c r="F250" s="21"/>
    </row>
    <row r="251" spans="5:6" ht="14.25" customHeight="1">
      <c r="E251" s="20"/>
      <c r="F251" s="21"/>
    </row>
    <row r="252" spans="5:6" ht="14.25" customHeight="1">
      <c r="E252" s="20"/>
      <c r="F252" s="21"/>
    </row>
    <row r="253" spans="5:6" ht="14.25" customHeight="1">
      <c r="E253" s="20"/>
      <c r="F253" s="21"/>
    </row>
    <row r="254" spans="5:6" ht="14.25" customHeight="1">
      <c r="E254" s="20"/>
      <c r="F254" s="21"/>
    </row>
    <row r="255" spans="5:6" ht="14.25" customHeight="1">
      <c r="E255" s="20"/>
      <c r="F255" s="21"/>
    </row>
    <row r="256" spans="5:6" ht="14.25" customHeight="1">
      <c r="E256" s="20"/>
      <c r="F256" s="21"/>
    </row>
    <row r="257" spans="5:6" ht="14.25" customHeight="1">
      <c r="E257" s="20"/>
      <c r="F257" s="21"/>
    </row>
    <row r="258" spans="5:6" ht="14.25" customHeight="1">
      <c r="E258" s="20"/>
      <c r="F258" s="21"/>
    </row>
    <row r="259" spans="5:6" ht="14.25" customHeight="1">
      <c r="E259" s="20"/>
      <c r="F259" s="21"/>
    </row>
    <row r="260" spans="5:6" ht="14.25" customHeight="1">
      <c r="E260" s="20"/>
      <c r="F260" s="21"/>
    </row>
    <row r="261" spans="5:6" ht="14.25" customHeight="1">
      <c r="E261" s="20"/>
      <c r="F261" s="21"/>
    </row>
    <row r="262" spans="5:6" ht="14.25" customHeight="1">
      <c r="E262" s="20"/>
      <c r="F262" s="21"/>
    </row>
    <row r="263" spans="5:6" ht="14.25" customHeight="1">
      <c r="E263" s="20"/>
      <c r="F263" s="21"/>
    </row>
    <row r="264" spans="5:6" ht="14.25" customHeight="1">
      <c r="E264" s="20"/>
      <c r="F264" s="21"/>
    </row>
    <row r="265" spans="5:6" ht="14.25" customHeight="1">
      <c r="E265" s="20"/>
      <c r="F265" s="21"/>
    </row>
    <row r="266" spans="5:6" ht="14.25" customHeight="1">
      <c r="E266" s="20"/>
      <c r="F266" s="21"/>
    </row>
    <row r="267" spans="5:6" ht="14.25" customHeight="1">
      <c r="E267" s="20"/>
      <c r="F267" s="21"/>
    </row>
    <row r="268" spans="5:6" ht="14.25" customHeight="1">
      <c r="E268" s="20"/>
      <c r="F268" s="21"/>
    </row>
    <row r="269" spans="5:6" ht="14.25" customHeight="1">
      <c r="E269" s="20"/>
      <c r="F269" s="21"/>
    </row>
    <row r="270" spans="5:6" ht="14.25" customHeight="1">
      <c r="E270" s="20"/>
      <c r="F270" s="21"/>
    </row>
    <row r="271" spans="5:6" ht="14.25" customHeight="1">
      <c r="E271" s="20"/>
      <c r="F271" s="21"/>
    </row>
    <row r="272" spans="5:6" ht="14.25" customHeight="1">
      <c r="E272" s="20"/>
      <c r="F272" s="21"/>
    </row>
    <row r="273" spans="5:6" ht="14.25" customHeight="1">
      <c r="E273" s="20"/>
      <c r="F273" s="21"/>
    </row>
    <row r="274" spans="5:6" ht="14.25" customHeight="1">
      <c r="E274" s="20"/>
      <c r="F274" s="21"/>
    </row>
    <row r="275" spans="5:6" ht="14.25" customHeight="1">
      <c r="E275" s="20"/>
      <c r="F275" s="21"/>
    </row>
    <row r="276" spans="5:6" ht="14.25" customHeight="1">
      <c r="E276" s="20"/>
      <c r="F276" s="21"/>
    </row>
    <row r="277" spans="5:6" ht="14.25" customHeight="1">
      <c r="E277" s="20"/>
      <c r="F277" s="21"/>
    </row>
    <row r="278" spans="5:6" ht="14.25" customHeight="1">
      <c r="E278" s="20"/>
      <c r="F278" s="21"/>
    </row>
    <row r="279" spans="5:6" ht="14.25" customHeight="1">
      <c r="E279" s="20"/>
      <c r="F279" s="21"/>
    </row>
    <row r="280" spans="5:6" ht="14.25" customHeight="1">
      <c r="E280" s="20"/>
      <c r="F280" s="21"/>
    </row>
    <row r="281" spans="5:6" ht="14.25" customHeight="1">
      <c r="E281" s="20"/>
      <c r="F281" s="21"/>
    </row>
    <row r="282" spans="5:6" ht="14.25" customHeight="1">
      <c r="E282" s="20"/>
      <c r="F282" s="21"/>
    </row>
    <row r="283" spans="5:6" ht="14.25" customHeight="1">
      <c r="E283" s="20"/>
      <c r="F283" s="21"/>
    </row>
    <row r="284" spans="5:6" ht="14.25" customHeight="1">
      <c r="E284" s="20"/>
      <c r="F284" s="21"/>
    </row>
    <row r="285" spans="5:6" ht="14.25" customHeight="1">
      <c r="E285" s="20"/>
      <c r="F285" s="21"/>
    </row>
    <row r="286" spans="5:6" ht="14.25" customHeight="1">
      <c r="E286" s="20"/>
      <c r="F286" s="21"/>
    </row>
    <row r="287" spans="5:6" ht="14.25" customHeight="1">
      <c r="E287" s="20"/>
      <c r="F287" s="21"/>
    </row>
    <row r="288" spans="5:6" ht="14.25" customHeight="1">
      <c r="E288" s="20"/>
      <c r="F288" s="21"/>
    </row>
    <row r="289" spans="5:6" ht="14.25" customHeight="1">
      <c r="E289" s="20"/>
      <c r="F289" s="21"/>
    </row>
    <row r="290" spans="5:6" ht="14.25" customHeight="1">
      <c r="E290" s="20"/>
      <c r="F290" s="21"/>
    </row>
    <row r="291" spans="5:6" ht="14.25" customHeight="1">
      <c r="E291" s="20"/>
      <c r="F291" s="21"/>
    </row>
    <row r="292" spans="5:6" ht="14.25" customHeight="1">
      <c r="E292" s="20"/>
      <c r="F292" s="21"/>
    </row>
    <row r="293" spans="5:6" ht="14.25" customHeight="1">
      <c r="E293" s="20"/>
      <c r="F293" s="21"/>
    </row>
    <row r="294" spans="5:6" ht="14.25" customHeight="1">
      <c r="E294" s="20"/>
      <c r="F294" s="21"/>
    </row>
    <row r="295" spans="5:6" ht="14.25" customHeight="1">
      <c r="E295" s="20"/>
      <c r="F295" s="21"/>
    </row>
    <row r="296" spans="5:6" ht="14.25" customHeight="1">
      <c r="E296" s="20"/>
      <c r="F296" s="21"/>
    </row>
    <row r="297" spans="5:6" ht="14.25" customHeight="1">
      <c r="E297" s="20"/>
      <c r="F297" s="21"/>
    </row>
    <row r="298" spans="5:6" ht="14.25" customHeight="1">
      <c r="E298" s="20"/>
      <c r="F298" s="21"/>
    </row>
    <row r="299" spans="5:6" ht="14.25" customHeight="1">
      <c r="E299" s="20"/>
      <c r="F299" s="21"/>
    </row>
    <row r="300" spans="5:6" ht="14.25" customHeight="1">
      <c r="E300" s="20"/>
      <c r="F300" s="21"/>
    </row>
    <row r="301" spans="5:6" ht="14.25" customHeight="1">
      <c r="E301" s="20"/>
      <c r="F301" s="21"/>
    </row>
    <row r="302" spans="5:6" ht="14.25" customHeight="1">
      <c r="E302" s="20"/>
      <c r="F302" s="21"/>
    </row>
    <row r="303" spans="5:6" ht="14.25" customHeight="1">
      <c r="E303" s="20"/>
      <c r="F303" s="21"/>
    </row>
    <row r="304" spans="5:6" ht="14.25" customHeight="1">
      <c r="E304" s="20"/>
      <c r="F304" s="21"/>
    </row>
    <row r="305" spans="5:6" ht="14.25" customHeight="1">
      <c r="E305" s="20"/>
      <c r="F305" s="21"/>
    </row>
    <row r="306" spans="5:6" ht="14.25" customHeight="1">
      <c r="E306" s="20"/>
      <c r="F306" s="21"/>
    </row>
    <row r="307" spans="5:6" ht="14.25" customHeight="1">
      <c r="E307" s="20"/>
      <c r="F307" s="21"/>
    </row>
    <row r="308" spans="5:6" ht="14.25" customHeight="1">
      <c r="E308" s="20"/>
      <c r="F308" s="21"/>
    </row>
    <row r="309" spans="5:6" ht="14.25" customHeight="1">
      <c r="E309" s="20"/>
      <c r="F309" s="21"/>
    </row>
    <row r="310" spans="5:6" ht="14.25" customHeight="1">
      <c r="E310" s="20"/>
      <c r="F310" s="21"/>
    </row>
    <row r="311" spans="5:6" ht="14.25" customHeight="1">
      <c r="E311" s="20"/>
      <c r="F311" s="21"/>
    </row>
    <row r="312" spans="5:6" ht="14.25" customHeight="1">
      <c r="E312" s="20"/>
      <c r="F312" s="21"/>
    </row>
    <row r="313" spans="5:6" ht="14.25" customHeight="1">
      <c r="E313" s="20"/>
      <c r="F313" s="21"/>
    </row>
    <row r="314" spans="5:6" ht="14.25" customHeight="1">
      <c r="E314" s="20"/>
      <c r="F314" s="21"/>
    </row>
    <row r="315" spans="5:6" ht="14.25" customHeight="1">
      <c r="E315" s="20"/>
      <c r="F315" s="21"/>
    </row>
    <row r="316" spans="5:6" ht="14.25" customHeight="1">
      <c r="E316" s="20"/>
      <c r="F316" s="21"/>
    </row>
    <row r="317" spans="5:6" ht="14.25" customHeight="1">
      <c r="E317" s="20"/>
      <c r="F317" s="21"/>
    </row>
    <row r="318" spans="5:6" ht="14.25" customHeight="1">
      <c r="E318" s="20"/>
      <c r="F318" s="21"/>
    </row>
    <row r="319" spans="5:6" ht="14.25" customHeight="1">
      <c r="E319" s="20"/>
      <c r="F319" s="21"/>
    </row>
    <row r="320" spans="5:6" ht="14.25" customHeight="1">
      <c r="E320" s="20"/>
      <c r="F320" s="21"/>
    </row>
    <row r="321" spans="5:6" ht="14.25" customHeight="1">
      <c r="E321" s="20"/>
      <c r="F321" s="21"/>
    </row>
    <row r="322" spans="5:6" ht="14.25" customHeight="1">
      <c r="E322" s="20"/>
      <c r="F322" s="21"/>
    </row>
    <row r="323" spans="5:6" ht="14.25" customHeight="1">
      <c r="E323" s="20"/>
      <c r="F323" s="21"/>
    </row>
    <row r="324" spans="5:6" ht="14.25" customHeight="1">
      <c r="E324" s="20"/>
      <c r="F324" s="21"/>
    </row>
    <row r="325" spans="5:6" ht="14.25" customHeight="1">
      <c r="E325" s="20"/>
      <c r="F325" s="21"/>
    </row>
    <row r="326" spans="5:6" ht="14.25" customHeight="1">
      <c r="E326" s="20"/>
      <c r="F326" s="21"/>
    </row>
    <row r="327" spans="5:6" ht="14.25" customHeight="1">
      <c r="E327" s="20"/>
      <c r="F327" s="21"/>
    </row>
    <row r="328" spans="5:6" ht="14.25" customHeight="1">
      <c r="E328" s="20"/>
      <c r="F328" s="21"/>
    </row>
    <row r="329" spans="5:6" ht="14.25" customHeight="1">
      <c r="E329" s="20"/>
      <c r="F329" s="21"/>
    </row>
    <row r="330" spans="5:6" ht="14.25" customHeight="1">
      <c r="E330" s="20"/>
      <c r="F330" s="21"/>
    </row>
    <row r="331" spans="5:6" ht="14.25" customHeight="1">
      <c r="E331" s="20"/>
      <c r="F331" s="21"/>
    </row>
    <row r="332" spans="5:6" ht="14.25" customHeight="1">
      <c r="E332" s="20"/>
      <c r="F332" s="21"/>
    </row>
    <row r="333" spans="5:6" ht="14.25" customHeight="1">
      <c r="E333" s="20"/>
      <c r="F333" s="21"/>
    </row>
    <row r="334" spans="5:6" ht="14.25" customHeight="1">
      <c r="E334" s="20"/>
      <c r="F334" s="21"/>
    </row>
    <row r="335" spans="5:6" ht="14.25" customHeight="1">
      <c r="E335" s="20"/>
      <c r="F335" s="21"/>
    </row>
    <row r="336" spans="5:6" ht="14.25" customHeight="1">
      <c r="E336" s="20"/>
      <c r="F336" s="21"/>
    </row>
    <row r="337" spans="5:6" ht="14.25" customHeight="1">
      <c r="E337" s="20"/>
      <c r="F337" s="21"/>
    </row>
    <row r="338" spans="5:6" ht="14.25" customHeight="1">
      <c r="E338" s="20"/>
      <c r="F338" s="21"/>
    </row>
    <row r="339" spans="5:6" ht="14.25" customHeight="1">
      <c r="E339" s="20"/>
      <c r="F339" s="21"/>
    </row>
    <row r="340" spans="5:6" ht="14.25" customHeight="1">
      <c r="E340" s="20"/>
      <c r="F340" s="21"/>
    </row>
    <row r="341" spans="5:6" ht="14.25" customHeight="1">
      <c r="E341" s="20"/>
      <c r="F341" s="21"/>
    </row>
    <row r="342" spans="5:6" ht="14.25" customHeight="1">
      <c r="E342" s="20"/>
      <c r="F342" s="21"/>
    </row>
    <row r="343" spans="5:6" ht="14.25" customHeight="1">
      <c r="E343" s="20"/>
      <c r="F343" s="21"/>
    </row>
    <row r="344" spans="5:6" ht="14.25" customHeight="1">
      <c r="E344" s="20"/>
      <c r="F344" s="21"/>
    </row>
    <row r="345" spans="5:6" ht="14.25" customHeight="1">
      <c r="E345" s="20"/>
      <c r="F345" s="21"/>
    </row>
    <row r="346" spans="5:6" ht="14.25" customHeight="1">
      <c r="E346" s="20"/>
      <c r="F346" s="21"/>
    </row>
    <row r="347" spans="5:6" ht="14.25" customHeight="1">
      <c r="E347" s="20"/>
      <c r="F347" s="21"/>
    </row>
    <row r="348" spans="5:6" ht="14.25" customHeight="1">
      <c r="E348" s="20"/>
      <c r="F348" s="21"/>
    </row>
    <row r="349" spans="5:6" ht="14.25" customHeight="1">
      <c r="E349" s="20"/>
      <c r="F349" s="21"/>
    </row>
    <row r="350" spans="5:6" ht="14.25" customHeight="1">
      <c r="E350" s="20"/>
      <c r="F350" s="21"/>
    </row>
    <row r="351" spans="5:6" ht="14.25" customHeight="1">
      <c r="E351" s="20"/>
      <c r="F351" s="21"/>
    </row>
    <row r="352" spans="5:6" ht="14.25" customHeight="1">
      <c r="E352" s="20"/>
      <c r="F352" s="21"/>
    </row>
    <row r="353" spans="5:6" ht="14.25" customHeight="1">
      <c r="E353" s="20"/>
      <c r="F353" s="21"/>
    </row>
    <row r="354" spans="5:6" ht="14.25" customHeight="1">
      <c r="E354" s="20"/>
      <c r="F354" s="21"/>
    </row>
    <row r="355" spans="5:6" ht="14.25" customHeight="1">
      <c r="E355" s="20"/>
      <c r="F355" s="21"/>
    </row>
    <row r="356" spans="5:6" ht="14.25" customHeight="1">
      <c r="E356" s="20"/>
      <c r="F356" s="21"/>
    </row>
    <row r="357" spans="5:6" ht="14.25" customHeight="1">
      <c r="E357" s="20"/>
      <c r="F357" s="21"/>
    </row>
    <row r="358" spans="5:6" ht="14.25" customHeight="1">
      <c r="E358" s="20"/>
      <c r="F358" s="21"/>
    </row>
    <row r="359" spans="5:6" ht="14.25" customHeight="1">
      <c r="E359" s="20"/>
      <c r="F359" s="21"/>
    </row>
    <row r="360" spans="5:6" ht="14.25" customHeight="1">
      <c r="E360" s="20"/>
      <c r="F360" s="21"/>
    </row>
    <row r="361" spans="5:6" ht="14.25" customHeight="1">
      <c r="E361" s="20"/>
      <c r="F361" s="21"/>
    </row>
    <row r="362" spans="5:6" ht="14.25" customHeight="1">
      <c r="E362" s="20"/>
      <c r="F362" s="21"/>
    </row>
    <row r="363" spans="5:6" ht="14.25" customHeight="1">
      <c r="E363" s="20"/>
      <c r="F363" s="21"/>
    </row>
    <row r="364" spans="5:6" ht="14.25" customHeight="1">
      <c r="E364" s="20"/>
      <c r="F364" s="21"/>
    </row>
    <row r="365" spans="5:6" ht="14.25" customHeight="1">
      <c r="E365" s="20"/>
      <c r="F365" s="21"/>
    </row>
    <row r="366" spans="5:6" ht="14.25" customHeight="1">
      <c r="E366" s="20"/>
      <c r="F366" s="21"/>
    </row>
    <row r="367" spans="5:6" ht="14.25" customHeight="1">
      <c r="E367" s="20"/>
      <c r="F367" s="21"/>
    </row>
    <row r="368" spans="5:6" ht="14.25" customHeight="1">
      <c r="E368" s="20"/>
      <c r="F368" s="21"/>
    </row>
    <row r="369" spans="5:6" ht="14.25" customHeight="1">
      <c r="E369" s="20"/>
      <c r="F369" s="21"/>
    </row>
    <row r="370" spans="5:6" ht="14.25" customHeight="1">
      <c r="E370" s="20"/>
      <c r="F370" s="21"/>
    </row>
    <row r="371" spans="5:6" ht="14.25" customHeight="1">
      <c r="E371" s="20"/>
      <c r="F371" s="21"/>
    </row>
    <row r="372" spans="5:6" ht="14.25" customHeight="1">
      <c r="E372" s="20"/>
      <c r="F372" s="21"/>
    </row>
    <row r="373" spans="5:6" ht="14.25" customHeight="1">
      <c r="E373" s="20"/>
      <c r="F373" s="21"/>
    </row>
    <row r="374" spans="5:6" ht="14.25" customHeight="1">
      <c r="E374" s="20"/>
      <c r="F374" s="21"/>
    </row>
    <row r="375" spans="5:6" ht="14.25" customHeight="1">
      <c r="E375" s="20"/>
      <c r="F375" s="21"/>
    </row>
    <row r="376" spans="5:6" ht="14.25" customHeight="1">
      <c r="E376" s="20"/>
      <c r="F376" s="21"/>
    </row>
    <row r="377" spans="5:6" ht="14.25" customHeight="1">
      <c r="E377" s="20"/>
      <c r="F377" s="21"/>
    </row>
    <row r="378" spans="5:6" ht="14.25" customHeight="1">
      <c r="E378" s="20"/>
      <c r="F378" s="21"/>
    </row>
    <row r="379" spans="5:6" ht="14.25" customHeight="1">
      <c r="E379" s="20"/>
      <c r="F379" s="21"/>
    </row>
    <row r="380" spans="5:6" ht="14.25" customHeight="1">
      <c r="E380" s="20"/>
      <c r="F380" s="21"/>
    </row>
    <row r="381" spans="5:6" ht="14.25" customHeight="1">
      <c r="E381" s="20"/>
      <c r="F381" s="21"/>
    </row>
    <row r="382" spans="5:6" ht="14.25" customHeight="1">
      <c r="E382" s="20"/>
      <c r="F382" s="21"/>
    </row>
    <row r="383" spans="5:6" ht="14.25" customHeight="1">
      <c r="E383" s="20"/>
      <c r="F383" s="21"/>
    </row>
    <row r="384" spans="5:6" ht="14.25" customHeight="1">
      <c r="E384" s="20"/>
      <c r="F384" s="21"/>
    </row>
    <row r="385" spans="5:6" ht="14.25" customHeight="1">
      <c r="E385" s="20"/>
      <c r="F385" s="21"/>
    </row>
    <row r="386" spans="5:6" ht="14.25" customHeight="1">
      <c r="E386" s="20"/>
      <c r="F386" s="21"/>
    </row>
    <row r="387" spans="5:6" ht="14.25" customHeight="1">
      <c r="E387" s="20"/>
      <c r="F387" s="21"/>
    </row>
    <row r="388" spans="5:6" ht="14.25" customHeight="1">
      <c r="E388" s="20"/>
      <c r="F388" s="21"/>
    </row>
    <row r="389" spans="5:6" ht="14.25" customHeight="1">
      <c r="E389" s="20"/>
      <c r="F389" s="21"/>
    </row>
    <row r="390" spans="5:6" ht="14.25" customHeight="1">
      <c r="E390" s="20"/>
      <c r="F390" s="21"/>
    </row>
    <row r="391" spans="5:6" ht="14.25" customHeight="1">
      <c r="E391" s="20"/>
      <c r="F391" s="21"/>
    </row>
    <row r="392" spans="5:6" ht="14.25" customHeight="1">
      <c r="E392" s="20"/>
      <c r="F392" s="21"/>
    </row>
    <row r="393" spans="5:6" ht="14.25" customHeight="1">
      <c r="E393" s="20"/>
      <c r="F393" s="21"/>
    </row>
    <row r="394" spans="5:6" ht="14.25" customHeight="1">
      <c r="E394" s="20"/>
      <c r="F394" s="21"/>
    </row>
    <row r="395" spans="5:6" ht="14.25" customHeight="1">
      <c r="E395" s="20"/>
      <c r="F395" s="21"/>
    </row>
    <row r="396" spans="5:6" ht="14.25" customHeight="1">
      <c r="E396" s="20"/>
      <c r="F396" s="21"/>
    </row>
    <row r="397" spans="5:6" ht="14.25" customHeight="1">
      <c r="E397" s="20"/>
      <c r="F397" s="21"/>
    </row>
    <row r="398" spans="5:6" ht="14.25" customHeight="1">
      <c r="E398" s="20"/>
      <c r="F398" s="21"/>
    </row>
    <row r="399" spans="5:6" ht="14.25" customHeight="1">
      <c r="E399" s="20"/>
      <c r="F399" s="21"/>
    </row>
    <row r="400" spans="5:6" ht="14.25" customHeight="1">
      <c r="E400" s="20"/>
      <c r="F400" s="21"/>
    </row>
    <row r="401" spans="5:6" ht="14.25" customHeight="1">
      <c r="E401" s="20"/>
      <c r="F401" s="21"/>
    </row>
    <row r="402" spans="5:6" ht="14.25" customHeight="1">
      <c r="E402" s="20"/>
      <c r="F402" s="21"/>
    </row>
    <row r="403" spans="5:6" ht="14.25" customHeight="1">
      <c r="E403" s="20"/>
      <c r="F403" s="21"/>
    </row>
    <row r="404" spans="5:6" ht="14.25" customHeight="1">
      <c r="E404" s="20"/>
      <c r="F404" s="21"/>
    </row>
    <row r="405" spans="5:6" ht="14.25" customHeight="1">
      <c r="E405" s="20"/>
      <c r="F405" s="21"/>
    </row>
    <row r="406" spans="5:6" ht="14.25" customHeight="1">
      <c r="E406" s="20"/>
      <c r="F406" s="21"/>
    </row>
    <row r="407" spans="5:6" ht="14.25" customHeight="1">
      <c r="E407" s="20"/>
      <c r="F407" s="21"/>
    </row>
    <row r="408" spans="5:6" ht="14.25" customHeight="1">
      <c r="E408" s="20"/>
      <c r="F408" s="21"/>
    </row>
    <row r="409" spans="5:6" ht="14.25" customHeight="1">
      <c r="E409" s="20"/>
      <c r="F409" s="21"/>
    </row>
    <row r="410" spans="5:6" ht="14.25" customHeight="1">
      <c r="E410" s="20"/>
      <c r="F410" s="21"/>
    </row>
    <row r="411" spans="5:6" ht="14.25" customHeight="1">
      <c r="E411" s="20"/>
      <c r="F411" s="21"/>
    </row>
    <row r="412" spans="5:6" ht="14.25" customHeight="1">
      <c r="E412" s="20"/>
      <c r="F412" s="21"/>
    </row>
    <row r="413" spans="5:6" ht="14.25" customHeight="1">
      <c r="E413" s="20"/>
      <c r="F413" s="21"/>
    </row>
    <row r="414" spans="5:6" ht="14.25" customHeight="1">
      <c r="E414" s="20"/>
      <c r="F414" s="21"/>
    </row>
    <row r="415" spans="5:6" ht="14.25" customHeight="1">
      <c r="E415" s="20"/>
      <c r="F415" s="21"/>
    </row>
    <row r="416" spans="5:6" ht="14.25" customHeight="1">
      <c r="E416" s="20"/>
      <c r="F416" s="21"/>
    </row>
    <row r="417" spans="5:6" ht="14.25" customHeight="1">
      <c r="E417" s="20"/>
      <c r="F417" s="21"/>
    </row>
    <row r="418" spans="5:6" ht="14.25" customHeight="1">
      <c r="E418" s="20"/>
      <c r="F418" s="21"/>
    </row>
    <row r="419" spans="5:6" ht="14.25" customHeight="1">
      <c r="E419" s="20"/>
      <c r="F419" s="21"/>
    </row>
    <row r="420" spans="5:6" ht="14.25" customHeight="1">
      <c r="E420" s="20"/>
      <c r="F420" s="21"/>
    </row>
    <row r="421" spans="5:6" ht="14.25" customHeight="1">
      <c r="E421" s="20"/>
      <c r="F421" s="21"/>
    </row>
    <row r="422" spans="5:6" ht="14.25" customHeight="1">
      <c r="E422" s="20"/>
      <c r="F422" s="21"/>
    </row>
    <row r="423" spans="5:6" ht="14.25" customHeight="1">
      <c r="E423" s="20"/>
      <c r="F423" s="21"/>
    </row>
    <row r="424" spans="5:6" ht="14.25" customHeight="1">
      <c r="E424" s="20"/>
      <c r="F424" s="21"/>
    </row>
    <row r="425" spans="5:6" ht="14.25" customHeight="1">
      <c r="E425" s="20"/>
      <c r="F425" s="21"/>
    </row>
    <row r="426" spans="5:6" ht="14.25" customHeight="1">
      <c r="E426" s="20"/>
      <c r="F426" s="21"/>
    </row>
    <row r="427" spans="5:6" ht="14.25" customHeight="1">
      <c r="E427" s="20"/>
      <c r="F427" s="21"/>
    </row>
    <row r="428" spans="5:6" ht="14.25" customHeight="1">
      <c r="E428" s="20"/>
      <c r="F428" s="21"/>
    </row>
    <row r="429" spans="5:6" ht="14.25" customHeight="1">
      <c r="E429" s="20"/>
      <c r="F429" s="21"/>
    </row>
    <row r="430" spans="5:6" ht="14.25" customHeight="1">
      <c r="E430" s="20"/>
      <c r="F430" s="21"/>
    </row>
    <row r="431" spans="5:6" ht="14.25" customHeight="1">
      <c r="E431" s="20"/>
      <c r="F431" s="21"/>
    </row>
    <row r="432" spans="5:6" ht="14.25" customHeight="1">
      <c r="E432" s="20"/>
      <c r="F432" s="21"/>
    </row>
    <row r="433" spans="5:6" ht="14.25" customHeight="1">
      <c r="E433" s="20"/>
      <c r="F433" s="21"/>
    </row>
    <row r="434" spans="5:6" ht="14.25" customHeight="1">
      <c r="E434" s="20"/>
      <c r="F434" s="21"/>
    </row>
    <row r="435" spans="5:6" ht="14.25" customHeight="1">
      <c r="E435" s="20"/>
      <c r="F435" s="21"/>
    </row>
    <row r="436" spans="5:6" ht="14.25" customHeight="1">
      <c r="E436" s="20"/>
      <c r="F436" s="21"/>
    </row>
    <row r="437" spans="5:6" ht="14.25" customHeight="1">
      <c r="E437" s="20"/>
      <c r="F437" s="21"/>
    </row>
    <row r="438" spans="5:6" ht="14.25" customHeight="1">
      <c r="E438" s="20"/>
      <c r="F438" s="21"/>
    </row>
    <row r="439" spans="5:6" ht="14.25" customHeight="1">
      <c r="E439" s="20"/>
      <c r="F439" s="21"/>
    </row>
    <row r="440" spans="5:6" ht="14.25" customHeight="1">
      <c r="E440" s="20"/>
      <c r="F440" s="21"/>
    </row>
    <row r="441" spans="5:6" ht="14.25" customHeight="1">
      <c r="E441" s="20"/>
      <c r="F441" s="21"/>
    </row>
    <row r="442" spans="5:6" ht="14.25" customHeight="1">
      <c r="E442" s="20"/>
      <c r="F442" s="21"/>
    </row>
    <row r="443" spans="5:6" ht="14.25" customHeight="1">
      <c r="E443" s="20"/>
      <c r="F443" s="21"/>
    </row>
    <row r="444" spans="5:6" ht="14.25" customHeight="1">
      <c r="E444" s="20"/>
      <c r="F444" s="21"/>
    </row>
    <row r="445" spans="5:6" ht="14.25" customHeight="1">
      <c r="E445" s="20"/>
      <c r="F445" s="21"/>
    </row>
    <row r="446" spans="5:6" ht="14.25" customHeight="1">
      <c r="E446" s="20"/>
      <c r="F446" s="21"/>
    </row>
    <row r="447" spans="5:6" ht="14.25" customHeight="1">
      <c r="E447" s="20"/>
      <c r="F447" s="21"/>
    </row>
    <row r="448" spans="5:6" ht="14.25" customHeight="1">
      <c r="E448" s="20"/>
      <c r="F448" s="21"/>
    </row>
    <row r="449" spans="5:6" ht="14.25" customHeight="1">
      <c r="E449" s="20"/>
      <c r="F449" s="21"/>
    </row>
    <row r="450" spans="5:6" ht="14.25" customHeight="1">
      <c r="E450" s="20"/>
      <c r="F450" s="21"/>
    </row>
    <row r="451" spans="5:6" ht="14.25" customHeight="1">
      <c r="E451" s="20"/>
      <c r="F451" s="21"/>
    </row>
    <row r="452" spans="5:6" ht="14.25" customHeight="1">
      <c r="E452" s="20"/>
      <c r="F452" s="21"/>
    </row>
    <row r="453" spans="5:6" ht="14.25" customHeight="1">
      <c r="E453" s="20"/>
      <c r="F453" s="21"/>
    </row>
    <row r="454" spans="5:6" ht="14.25" customHeight="1">
      <c r="E454" s="20"/>
      <c r="F454" s="21"/>
    </row>
    <row r="455" spans="5:6" ht="14.25" customHeight="1">
      <c r="E455" s="20"/>
      <c r="F455" s="21"/>
    </row>
    <row r="456" spans="5:6" ht="14.25" customHeight="1">
      <c r="E456" s="20"/>
      <c r="F456" s="21"/>
    </row>
    <row r="457" spans="5:6" ht="14.25" customHeight="1">
      <c r="E457" s="20"/>
      <c r="F457" s="21"/>
    </row>
    <row r="458" spans="5:6" ht="14.25" customHeight="1">
      <c r="E458" s="20"/>
      <c r="F458" s="21"/>
    </row>
    <row r="459" spans="5:6" ht="14.25" customHeight="1">
      <c r="E459" s="20"/>
      <c r="F459" s="21"/>
    </row>
    <row r="460" spans="5:6" ht="14.25" customHeight="1">
      <c r="E460" s="20"/>
      <c r="F460" s="21"/>
    </row>
    <row r="461" spans="5:6" ht="14.25" customHeight="1">
      <c r="E461" s="20"/>
      <c r="F461" s="21"/>
    </row>
    <row r="462" spans="5:6" ht="14.25" customHeight="1">
      <c r="E462" s="20"/>
      <c r="F462" s="21"/>
    </row>
    <row r="463" spans="5:6" ht="14.25" customHeight="1">
      <c r="E463" s="20"/>
      <c r="F463" s="21"/>
    </row>
    <row r="464" spans="5:6" ht="14.25" customHeight="1">
      <c r="E464" s="20"/>
      <c r="F464" s="21"/>
    </row>
    <row r="465" spans="5:6" ht="14.25" customHeight="1">
      <c r="E465" s="20"/>
      <c r="F465" s="21"/>
    </row>
    <row r="466" spans="5:6" ht="14.25" customHeight="1">
      <c r="E466" s="20"/>
      <c r="F466" s="21"/>
    </row>
    <row r="467" spans="5:6" ht="14.25" customHeight="1">
      <c r="E467" s="20"/>
      <c r="F467" s="21"/>
    </row>
    <row r="468" spans="5:6" ht="14.25" customHeight="1">
      <c r="E468" s="20"/>
      <c r="F468" s="21"/>
    </row>
    <row r="469" spans="5:6" ht="14.25" customHeight="1">
      <c r="E469" s="20"/>
      <c r="F469" s="21"/>
    </row>
    <row r="470" spans="5:6" ht="14.25" customHeight="1">
      <c r="E470" s="20"/>
      <c r="F470" s="21"/>
    </row>
    <row r="471" spans="5:6" ht="14.25" customHeight="1">
      <c r="E471" s="20"/>
      <c r="F471" s="21"/>
    </row>
    <row r="472" spans="5:6" ht="14.25" customHeight="1">
      <c r="E472" s="20"/>
      <c r="F472" s="21"/>
    </row>
    <row r="473" spans="5:6" ht="14.25" customHeight="1">
      <c r="E473" s="20"/>
      <c r="F473" s="21"/>
    </row>
    <row r="474" spans="5:6" ht="14.25" customHeight="1">
      <c r="E474" s="20"/>
      <c r="F474" s="21"/>
    </row>
    <row r="475" spans="5:6" ht="14.25" customHeight="1">
      <c r="E475" s="20"/>
      <c r="F475" s="21"/>
    </row>
    <row r="476" spans="5:6" ht="14.25" customHeight="1">
      <c r="E476" s="20"/>
      <c r="F476" s="21"/>
    </row>
    <row r="477" spans="5:6" ht="14.25" customHeight="1">
      <c r="E477" s="20"/>
      <c r="F477" s="21"/>
    </row>
    <row r="478" spans="5:6" ht="14.25" customHeight="1">
      <c r="E478" s="20"/>
      <c r="F478" s="21"/>
    </row>
    <row r="479" spans="5:6" ht="14.25" customHeight="1">
      <c r="E479" s="20"/>
      <c r="F479" s="21"/>
    </row>
    <row r="480" spans="5:6" ht="14.25" customHeight="1">
      <c r="E480" s="20"/>
      <c r="F480" s="21"/>
    </row>
    <row r="481" spans="5:6" ht="14.25" customHeight="1">
      <c r="E481" s="20"/>
      <c r="F481" s="21"/>
    </row>
    <row r="482" spans="5:6" ht="14.25" customHeight="1">
      <c r="E482" s="20"/>
      <c r="F482" s="21"/>
    </row>
    <row r="483" spans="5:6" ht="14.25" customHeight="1">
      <c r="E483" s="20"/>
      <c r="F483" s="21"/>
    </row>
    <row r="484" spans="5:6" ht="14.25" customHeight="1">
      <c r="E484" s="20"/>
      <c r="F484" s="21"/>
    </row>
    <row r="485" spans="5:6" ht="14.25" customHeight="1">
      <c r="E485" s="20"/>
      <c r="F485" s="21"/>
    </row>
    <row r="486" spans="5:6" ht="14.25" customHeight="1">
      <c r="E486" s="20"/>
      <c r="F486" s="21"/>
    </row>
    <row r="487" spans="5:6" ht="14.25" customHeight="1">
      <c r="E487" s="20"/>
      <c r="F487" s="21"/>
    </row>
    <row r="488" spans="5:6" ht="14.25" customHeight="1">
      <c r="E488" s="20"/>
      <c r="F488" s="21"/>
    </row>
    <row r="489" spans="5:6" ht="14.25" customHeight="1">
      <c r="E489" s="20"/>
      <c r="F489" s="21"/>
    </row>
    <row r="490" spans="5:6" ht="14.25" customHeight="1">
      <c r="E490" s="20"/>
      <c r="F490" s="21"/>
    </row>
    <row r="491" spans="5:6" ht="14.25" customHeight="1">
      <c r="E491" s="20"/>
      <c r="F491" s="21"/>
    </row>
    <row r="492" spans="5:6" ht="14.25" customHeight="1">
      <c r="E492" s="20"/>
      <c r="F492" s="21"/>
    </row>
    <row r="493" spans="5:6" ht="14.25" customHeight="1">
      <c r="E493" s="20"/>
      <c r="F493" s="21"/>
    </row>
    <row r="494" spans="5:6" ht="14.25" customHeight="1">
      <c r="E494" s="20"/>
      <c r="F494" s="21"/>
    </row>
    <row r="495" spans="5:6" ht="14.25" customHeight="1">
      <c r="E495" s="20"/>
      <c r="F495" s="21"/>
    </row>
    <row r="496" spans="5:6" ht="14.25" customHeight="1">
      <c r="E496" s="20"/>
      <c r="F496" s="21"/>
    </row>
    <row r="497" spans="5:6" ht="14.25" customHeight="1">
      <c r="E497" s="20"/>
      <c r="F497" s="21"/>
    </row>
    <row r="498" spans="5:6" ht="14.25" customHeight="1">
      <c r="E498" s="20"/>
      <c r="F498" s="21"/>
    </row>
    <row r="499" spans="5:6" ht="14.25" customHeight="1">
      <c r="E499" s="20"/>
      <c r="F499" s="21"/>
    </row>
    <row r="500" spans="5:6" ht="14.25" customHeight="1">
      <c r="E500" s="20"/>
      <c r="F500" s="21"/>
    </row>
    <row r="501" spans="5:6" ht="14.25" customHeight="1">
      <c r="E501" s="20"/>
      <c r="F501" s="21"/>
    </row>
    <row r="502" spans="5:6" ht="14.25" customHeight="1">
      <c r="E502" s="20"/>
      <c r="F502" s="21"/>
    </row>
    <row r="503" spans="5:6" ht="14.25" customHeight="1">
      <c r="E503" s="20"/>
      <c r="F503" s="21"/>
    </row>
    <row r="504" spans="5:6" ht="14.25" customHeight="1">
      <c r="E504" s="20"/>
      <c r="F504" s="21"/>
    </row>
    <row r="505" spans="5:6" ht="14.25" customHeight="1">
      <c r="E505" s="20"/>
      <c r="F505" s="21"/>
    </row>
    <row r="506" spans="5:6" ht="14.25" customHeight="1">
      <c r="E506" s="20"/>
      <c r="F506" s="21"/>
    </row>
    <row r="507" spans="5:6" ht="14.25" customHeight="1">
      <c r="E507" s="20"/>
      <c r="F507" s="21"/>
    </row>
    <row r="508" spans="5:6" ht="14.25" customHeight="1">
      <c r="E508" s="20"/>
      <c r="F508" s="21"/>
    </row>
    <row r="509" spans="5:6" ht="14.25" customHeight="1">
      <c r="E509" s="20"/>
      <c r="F509" s="21"/>
    </row>
    <row r="510" spans="5:6" ht="14.25" customHeight="1">
      <c r="E510" s="20"/>
      <c r="F510" s="21"/>
    </row>
    <row r="511" spans="5:6" ht="14.25" customHeight="1">
      <c r="E511" s="20"/>
      <c r="F511" s="21"/>
    </row>
    <row r="512" spans="5:6" ht="14.25" customHeight="1">
      <c r="E512" s="20"/>
      <c r="F512" s="21"/>
    </row>
    <row r="513" spans="5:6" ht="14.25" customHeight="1">
      <c r="E513" s="20"/>
      <c r="F513" s="21"/>
    </row>
    <row r="514" spans="5:6" ht="14.25" customHeight="1">
      <c r="E514" s="20"/>
      <c r="F514" s="21"/>
    </row>
    <row r="515" spans="5:6" ht="14.25" customHeight="1">
      <c r="E515" s="20"/>
      <c r="F515" s="21"/>
    </row>
    <row r="516" spans="5:6" ht="14.25" customHeight="1">
      <c r="E516" s="20"/>
      <c r="F516" s="21"/>
    </row>
  </sheetData>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Q515"/>
  <sheetViews>
    <sheetView zoomScale="75" zoomScaleNormal="75" workbookViewId="0" topLeftCell="A1">
      <selection activeCell="J36" sqref="J36:J37"/>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152</v>
      </c>
    </row>
    <row r="2" spans="2:17" ht="14.25" customHeight="1">
      <c r="B2" s="3"/>
      <c r="D2" s="3"/>
      <c r="K2" s="6"/>
      <c r="L2" s="6"/>
      <c r="M2" s="6"/>
      <c r="N2" s="6"/>
      <c r="O2" s="6"/>
      <c r="P2" s="6"/>
      <c r="Q2" s="6"/>
    </row>
    <row r="3" spans="2:17" ht="14.25" customHeight="1">
      <c r="B3" s="3"/>
      <c r="D3" s="3"/>
      <c r="F3" s="27" t="s">
        <v>10</v>
      </c>
      <c r="G3" s="25">
        <v>0.0727</v>
      </c>
      <c r="H3" s="26" t="s">
        <v>14</v>
      </c>
      <c r="I3" s="25">
        <f>G3*1000</f>
        <v>72.7</v>
      </c>
      <c r="J3" s="26" t="s">
        <v>18</v>
      </c>
      <c r="K3" s="6"/>
      <c r="L3" s="6"/>
      <c r="M3" s="6"/>
      <c r="N3" s="6"/>
      <c r="O3" s="6"/>
      <c r="P3" s="6"/>
      <c r="Q3"/>
    </row>
    <row r="4" spans="1:17" ht="14.25" customHeight="1">
      <c r="A4" s="24"/>
      <c r="B4" s="3"/>
      <c r="D4" s="3"/>
      <c r="F4" s="27" t="s">
        <v>11</v>
      </c>
      <c r="G4" s="25">
        <v>0.001</v>
      </c>
      <c r="H4" s="26" t="s">
        <v>15</v>
      </c>
      <c r="I4" s="25">
        <f>G4*1000/100</f>
        <v>0.01</v>
      </c>
      <c r="J4" s="26" t="s">
        <v>19</v>
      </c>
      <c r="K4" s="6"/>
      <c r="L4" s="6"/>
      <c r="M4" s="6"/>
      <c r="N4" s="6"/>
      <c r="O4" s="6"/>
      <c r="P4" s="6"/>
      <c r="Q4" s="6"/>
    </row>
    <row r="5" spans="2:17" ht="14.25" customHeight="1">
      <c r="B5" s="3"/>
      <c r="D5" s="3"/>
      <c r="F5" s="28" t="s">
        <v>12</v>
      </c>
      <c r="G5" s="29">
        <v>1</v>
      </c>
      <c r="H5" s="30" t="s">
        <v>16</v>
      </c>
      <c r="I5" s="6"/>
      <c r="J5" s="6"/>
      <c r="K5" s="6"/>
      <c r="L5" s="6"/>
      <c r="M5" s="6"/>
      <c r="N5" s="6"/>
      <c r="O5" s="6"/>
      <c r="P5" s="6"/>
      <c r="Q5" s="6"/>
    </row>
    <row r="6" spans="2:17" ht="14.25" customHeight="1">
      <c r="B6" s="3"/>
      <c r="D6" s="3"/>
      <c r="F6" s="31" t="s">
        <v>13</v>
      </c>
      <c r="G6" s="32">
        <v>9.81</v>
      </c>
      <c r="H6" s="26" t="s">
        <v>17</v>
      </c>
      <c r="I6" s="25">
        <f>G6*100</f>
        <v>981</v>
      </c>
      <c r="J6" s="26" t="s">
        <v>20</v>
      </c>
      <c r="K6" s="6"/>
      <c r="L6" s="18"/>
      <c r="M6" s="6"/>
      <c r="N6" s="6"/>
      <c r="O6" s="6"/>
      <c r="P6" s="6"/>
      <c r="Q6" s="6"/>
    </row>
    <row r="7" spans="4:17" ht="14.25" customHeight="1">
      <c r="D7" s="6"/>
      <c r="F7" s="27" t="s">
        <v>21</v>
      </c>
      <c r="G7" s="34">
        <f>J7/100</f>
        <v>0.01</v>
      </c>
      <c r="H7" s="17"/>
      <c r="I7" s="6"/>
      <c r="J7" s="6">
        <v>1</v>
      </c>
      <c r="K7" s="6"/>
      <c r="P7" s="6"/>
      <c r="Q7" s="6"/>
    </row>
    <row r="8" spans="4:17" ht="14.25" customHeight="1">
      <c r="D8" s="6"/>
      <c r="F8" s="27" t="s">
        <v>22</v>
      </c>
      <c r="G8" s="33">
        <v>0.05</v>
      </c>
      <c r="H8" s="6"/>
      <c r="I8" s="6"/>
      <c r="J8" s="6"/>
      <c r="K8" s="6"/>
      <c r="P8" s="6"/>
      <c r="Q8" s="6"/>
    </row>
    <row r="9" spans="4:17" ht="14.25" customHeight="1">
      <c r="D9" s="6"/>
      <c r="P9" s="6"/>
      <c r="Q9" s="6"/>
    </row>
    <row r="10" spans="4:17" ht="14.25" customHeight="1">
      <c r="D10" s="6"/>
      <c r="P10" s="6"/>
      <c r="Q10" s="6"/>
    </row>
    <row r="11" spans="4:17" ht="14.25" customHeight="1">
      <c r="D11" s="3"/>
      <c r="P11" s="6"/>
      <c r="Q11" s="6"/>
    </row>
    <row r="12" spans="4:17" ht="14.25" customHeight="1">
      <c r="D12" s="3"/>
      <c r="P12" s="6"/>
      <c r="Q12" s="6"/>
    </row>
    <row r="13" spans="4:17" ht="14.25" customHeight="1">
      <c r="D13" s="3"/>
      <c r="K13" s="6"/>
      <c r="L13" s="6"/>
      <c r="M13" s="6"/>
      <c r="N13" s="6"/>
      <c r="O13" s="6"/>
      <c r="P13" s="6"/>
      <c r="Q13" s="6"/>
    </row>
    <row r="14" spans="9:11" ht="14.25" customHeight="1">
      <c r="I14" s="3"/>
      <c r="K14" s="3"/>
    </row>
    <row r="15" spans="2:3" ht="14.25" customHeight="1">
      <c r="B15" s="4" t="s">
        <v>2</v>
      </c>
      <c r="C15" s="5">
        <v>0.04</v>
      </c>
    </row>
    <row r="16" spans="2:3" ht="14.25" customHeight="1">
      <c r="B16" s="7" t="s">
        <v>3</v>
      </c>
      <c r="C16" s="8">
        <v>0.6</v>
      </c>
    </row>
    <row r="17" spans="2:3" ht="14.25" customHeight="1">
      <c r="B17" s="9" t="s">
        <v>4</v>
      </c>
      <c r="C17" s="10">
        <v>0.02</v>
      </c>
    </row>
    <row r="18" spans="2:3" ht="14.25" customHeight="1">
      <c r="B18" s="11" t="s">
        <v>0</v>
      </c>
      <c r="C18" s="12">
        <v>1.5</v>
      </c>
    </row>
    <row r="19" spans="2:3" ht="14.25" customHeight="1">
      <c r="B19" s="13" t="s">
        <v>1</v>
      </c>
      <c r="C19" s="10">
        <v>0.5</v>
      </c>
    </row>
    <row r="20" spans="2:3" ht="14.25" customHeight="1">
      <c r="B20" s="14" t="s">
        <v>5</v>
      </c>
      <c r="C20" s="15">
        <v>790</v>
      </c>
    </row>
    <row r="39" spans="2:9" ht="14.25" customHeight="1">
      <c r="B39" s="22" t="s">
        <v>23</v>
      </c>
      <c r="C39" s="20" t="s">
        <v>8</v>
      </c>
      <c r="D39" s="22" t="s">
        <v>38</v>
      </c>
      <c r="E39" s="22" t="s">
        <v>37</v>
      </c>
      <c r="F39" s="22" t="s">
        <v>36</v>
      </c>
      <c r="G39" s="22" t="s">
        <v>39</v>
      </c>
      <c r="H39" s="22" t="s">
        <v>39</v>
      </c>
      <c r="I39" s="22" t="s">
        <v>35</v>
      </c>
    </row>
    <row r="40" spans="1:9" ht="14.25" customHeight="1">
      <c r="A40" s="20" t="s">
        <v>3</v>
      </c>
      <c r="B40" s="21">
        <v>0</v>
      </c>
      <c r="C40" s="2">
        <f>$C$16</f>
        <v>0.6</v>
      </c>
      <c r="D40" s="2">
        <f>IF(C40&lt;$C$15,"",1/$C$17*(((C40-$C$15)/($C$16-$C$15))^(-$C$18/($C$18-1))-1)^(1/$C$18))</f>
        <v>0</v>
      </c>
      <c r="I40" s="23">
        <f>$G$7*$I$3^2*$G$8/(2*$I$4*$G$5*$I$6)*SUM(H41:H347)*60*60*24</f>
        <v>31.89806910190911</v>
      </c>
    </row>
    <row r="41" spans="1:9" ht="14.25" customHeight="1">
      <c r="A41" s="20" t="s">
        <v>170</v>
      </c>
      <c r="B41" s="21">
        <v>1</v>
      </c>
      <c r="C41" s="2">
        <f aca="true" t="shared" si="0" ref="C41:C51">$C$40-$G$8*B41</f>
        <v>0.5499999999999999</v>
      </c>
      <c r="D41" s="2">
        <f aca="true" t="shared" si="1" ref="D41:D51">1/$C$17*(((C41-$C$15)/($C$16-$C$15))^(-$C$18/($C$18-1))-1)^(1/$C$18)</f>
        <v>23.58157798006598</v>
      </c>
      <c r="E41" s="2">
        <f aca="true" t="shared" si="2" ref="E41:E51">2*$I$3/($G$5*$I$6*D41)</f>
        <v>0.006285249703796813</v>
      </c>
      <c r="F41" s="2">
        <f aca="true" t="shared" si="3" ref="F41:F51">$G$8/PI()/E41^2</f>
        <v>402.87939767924684</v>
      </c>
      <c r="G41" s="2">
        <f aca="true" t="shared" si="4" ref="G41:G51">1/D41^2</f>
        <v>0.0017982674124096725</v>
      </c>
      <c r="H41" s="2">
        <f aca="true" t="shared" si="5" ref="H41:H51">IF(C41&gt;$C$15,G41,0)</f>
        <v>0.0017982674124096725</v>
      </c>
      <c r="I41" s="23">
        <f aca="true" t="shared" si="6" ref="I41:I50">$G$7*$I$3^2*$G$8/(2*$I$4*$G$5*$I$6)*SUM(H42:H348)*60*60*24</f>
        <v>10.971027401795963</v>
      </c>
    </row>
    <row r="42" spans="1:9" ht="14.25" customHeight="1">
      <c r="A42" s="20" t="s">
        <v>25</v>
      </c>
      <c r="B42" s="21">
        <v>2</v>
      </c>
      <c r="C42" s="2">
        <f t="shared" si="0"/>
        <v>0.5</v>
      </c>
      <c r="D42" s="2">
        <f t="shared" si="1"/>
        <v>43.240252263715526</v>
      </c>
      <c r="E42" s="2">
        <f t="shared" si="2"/>
        <v>0.0034277345356434176</v>
      </c>
      <c r="F42" s="2">
        <f t="shared" si="3"/>
        <v>1354.5834690062652</v>
      </c>
      <c r="G42" s="2">
        <f t="shared" si="4"/>
        <v>0.000534839608303588</v>
      </c>
      <c r="H42" s="2">
        <f t="shared" si="5"/>
        <v>0.000534839608303588</v>
      </c>
      <c r="I42" s="23">
        <f t="shared" si="6"/>
        <v>4.746919291621568</v>
      </c>
    </row>
    <row r="43" spans="1:9" ht="14.25" customHeight="1">
      <c r="A43" s="20" t="s">
        <v>26</v>
      </c>
      <c r="B43" s="21">
        <v>3</v>
      </c>
      <c r="C43" s="2">
        <f t="shared" si="0"/>
        <v>0.44999999999999996</v>
      </c>
      <c r="D43" s="2">
        <f t="shared" si="1"/>
        <v>66.91112564411232</v>
      </c>
      <c r="E43" s="2">
        <f t="shared" si="2"/>
        <v>0.002215119004313344</v>
      </c>
      <c r="F43" s="2">
        <f t="shared" si="3"/>
        <v>3243.590393373143</v>
      </c>
      <c r="G43" s="2">
        <f t="shared" si="4"/>
        <v>0.00022335893380927334</v>
      </c>
      <c r="H43" s="2">
        <f t="shared" si="5"/>
        <v>0.00022335893380927334</v>
      </c>
      <c r="I43" s="23">
        <f t="shared" si="6"/>
        <v>2.147616379461244</v>
      </c>
    </row>
    <row r="44" spans="1:9" ht="14.25" customHeight="1">
      <c r="A44" s="20" t="s">
        <v>27</v>
      </c>
      <c r="B44" s="21">
        <v>4</v>
      </c>
      <c r="C44" s="2">
        <f t="shared" si="0"/>
        <v>0.39999999999999997</v>
      </c>
      <c r="D44" s="2">
        <f t="shared" si="1"/>
        <v>98.4770474628614</v>
      </c>
      <c r="E44" s="2">
        <f t="shared" si="2"/>
        <v>0.0015050827561637428</v>
      </c>
      <c r="F44" s="2">
        <f t="shared" si="3"/>
        <v>7025.85805788552</v>
      </c>
      <c r="G44" s="2">
        <f t="shared" si="4"/>
        <v>0.00010311692693032646</v>
      </c>
      <c r="H44" s="2">
        <f t="shared" si="5"/>
        <v>0.00010311692693032646</v>
      </c>
      <c r="I44" s="23">
        <f t="shared" si="6"/>
        <v>0.9476100761902309</v>
      </c>
    </row>
    <row r="45" spans="1:9" ht="14.25" customHeight="1">
      <c r="A45" s="20" t="s">
        <v>28</v>
      </c>
      <c r="B45" s="21">
        <v>5</v>
      </c>
      <c r="C45" s="2">
        <f t="shared" si="0"/>
        <v>0.35</v>
      </c>
      <c r="D45" s="2">
        <f t="shared" si="1"/>
        <v>144.14556122683277</v>
      </c>
      <c r="E45" s="2">
        <f t="shared" si="2"/>
        <v>0.0010282391268436827</v>
      </c>
      <c r="F45" s="2">
        <f t="shared" si="3"/>
        <v>15053.305660482423</v>
      </c>
      <c r="G45" s="2">
        <f t="shared" si="4"/>
        <v>4.8127959952326426E-05</v>
      </c>
      <c r="H45" s="2">
        <f t="shared" si="5"/>
        <v>4.8127959952326426E-05</v>
      </c>
      <c r="I45" s="23">
        <f t="shared" si="6"/>
        <v>0.3875288458274462</v>
      </c>
    </row>
    <row r="46" spans="1:9" ht="14.25" customHeight="1">
      <c r="A46" s="20" t="s">
        <v>29</v>
      </c>
      <c r="B46" s="21">
        <v>6</v>
      </c>
      <c r="C46" s="2">
        <f t="shared" si="0"/>
        <v>0.29999999999999993</v>
      </c>
      <c r="D46" s="2">
        <f t="shared" si="1"/>
        <v>216.2061229853518</v>
      </c>
      <c r="E46" s="2">
        <f t="shared" si="2"/>
        <v>0.000685531491743705</v>
      </c>
      <c r="F46" s="2">
        <f t="shared" si="3"/>
        <v>33866.10975223049</v>
      </c>
      <c r="G46" s="2">
        <f t="shared" si="4"/>
        <v>2.1392622219625048E-05</v>
      </c>
      <c r="H46" s="2">
        <f t="shared" si="5"/>
        <v>2.1392622219625048E-05</v>
      </c>
      <c r="I46" s="23">
        <f t="shared" si="6"/>
        <v>0.13857571784690587</v>
      </c>
    </row>
    <row r="47" spans="1:9" ht="14.25" customHeight="1">
      <c r="A47" s="20" t="s">
        <v>30</v>
      </c>
      <c r="B47" s="21">
        <v>7</v>
      </c>
      <c r="C47" s="2">
        <f t="shared" si="0"/>
        <v>0.24999999999999994</v>
      </c>
      <c r="D47" s="2">
        <f t="shared" si="1"/>
        <v>342.9430352494708</v>
      </c>
      <c r="E47" s="2">
        <f t="shared" si="2"/>
        <v>0.00043218870418655007</v>
      </c>
      <c r="F47" s="2">
        <f t="shared" si="3"/>
        <v>85206.61411786263</v>
      </c>
      <c r="G47" s="2">
        <f t="shared" si="4"/>
        <v>8.502683735040544E-06</v>
      </c>
      <c r="H47" s="2">
        <f t="shared" si="5"/>
        <v>8.502683735040544E-06</v>
      </c>
      <c r="I47" s="23">
        <f t="shared" si="6"/>
        <v>0.03962713219265467</v>
      </c>
    </row>
    <row r="48" spans="1:9" ht="14.25" customHeight="1">
      <c r="A48" s="20" t="s">
        <v>31</v>
      </c>
      <c r="B48" s="21">
        <v>8</v>
      </c>
      <c r="C48" s="2">
        <f t="shared" si="0"/>
        <v>0.19999999999999996</v>
      </c>
      <c r="D48" s="2">
        <f t="shared" si="1"/>
        <v>602.9387797929954</v>
      </c>
      <c r="E48" s="2">
        <f t="shared" si="2"/>
        <v>0.00024582281150527024</v>
      </c>
      <c r="F48" s="2">
        <f t="shared" si="3"/>
        <v>263375.7399457118</v>
      </c>
      <c r="G48" s="2">
        <f t="shared" si="4"/>
        <v>2.750765473415132E-06</v>
      </c>
      <c r="H48" s="2">
        <f t="shared" si="5"/>
        <v>2.750765473415132E-06</v>
      </c>
      <c r="I48" s="23">
        <f t="shared" si="6"/>
        <v>0.007615550726996845</v>
      </c>
    </row>
    <row r="49" spans="1:9" ht="14.25" customHeight="1">
      <c r="A49" s="20" t="s">
        <v>32</v>
      </c>
      <c r="B49" s="21">
        <v>9</v>
      </c>
      <c r="C49" s="2">
        <f t="shared" si="0"/>
        <v>0.14999999999999997</v>
      </c>
      <c r="D49" s="2">
        <f t="shared" si="1"/>
        <v>1289.311850790354</v>
      </c>
      <c r="E49" s="2">
        <f t="shared" si="2"/>
        <v>0.0001149575301921052</v>
      </c>
      <c r="F49" s="2">
        <f t="shared" si="3"/>
        <v>1204329.383258637</v>
      </c>
      <c r="G49" s="2">
        <f t="shared" si="4"/>
        <v>6.015670646659288E-07</v>
      </c>
      <c r="H49" s="2">
        <f t="shared" si="5"/>
        <v>6.015670646659288E-07</v>
      </c>
      <c r="I49" s="23">
        <f t="shared" si="6"/>
        <v>0.0006149128014008385</v>
      </c>
    </row>
    <row r="50" spans="1:9" ht="14.25" customHeight="1">
      <c r="A50" s="20" t="s">
        <v>33</v>
      </c>
      <c r="B50" s="21">
        <v>10</v>
      </c>
      <c r="C50" s="2">
        <f t="shared" si="0"/>
        <v>0.09999999999999998</v>
      </c>
      <c r="D50" s="2">
        <f t="shared" si="1"/>
        <v>4351.983394466806</v>
      </c>
      <c r="E50" s="2">
        <f t="shared" si="2"/>
        <v>3.405713960276501E-05</v>
      </c>
      <c r="F50" s="2">
        <f t="shared" si="3"/>
        <v>13721569.59060442</v>
      </c>
      <c r="G50" s="2">
        <f t="shared" si="4"/>
        <v>5.279898099076825E-08</v>
      </c>
      <c r="H50" s="2">
        <f t="shared" si="5"/>
        <v>5.279898099076825E-08</v>
      </c>
      <c r="I50" s="23">
        <f t="shared" si="6"/>
        <v>4.733307791191795E-07</v>
      </c>
    </row>
    <row r="51" spans="1:9" ht="14.25" customHeight="1">
      <c r="A51" s="20" t="s">
        <v>34</v>
      </c>
      <c r="B51" s="21">
        <v>11</v>
      </c>
      <c r="C51" s="2">
        <f t="shared" si="0"/>
        <v>0.04999999999999993</v>
      </c>
      <c r="D51" s="2">
        <f t="shared" si="1"/>
        <v>156799.40476134184</v>
      </c>
      <c r="E51" s="2">
        <f t="shared" si="2"/>
        <v>9.452593665126792E-07</v>
      </c>
      <c r="F51" s="2">
        <f t="shared" si="3"/>
        <v>17812224193.489876</v>
      </c>
      <c r="G51" s="2">
        <f t="shared" si="4"/>
        <v>4.0673465823690664E-11</v>
      </c>
      <c r="H51" s="2">
        <f t="shared" si="5"/>
        <v>4.0673465823690664E-11</v>
      </c>
      <c r="I51" s="2">
        <f>IF(Q52=0,"",$G$7*$I$3^2*$G$8/(2*$I$4*$G$5*$I$6)*SUM(Q52:Q358)*60*60*24)</f>
      </c>
    </row>
    <row r="52" spans="4:11" ht="14.25" customHeight="1">
      <c r="D52" s="19"/>
      <c r="J52" s="20"/>
      <c r="K52" s="21"/>
    </row>
    <row r="53" spans="4:11" ht="14.25" customHeight="1">
      <c r="D53" s="19"/>
      <c r="J53" s="20"/>
      <c r="K53" s="21"/>
    </row>
    <row r="54" spans="4:11" ht="14.25" customHeight="1">
      <c r="D54" s="19"/>
      <c r="J54" s="20"/>
      <c r="K54" s="21"/>
    </row>
    <row r="55" spans="4:11" ht="14.25" customHeight="1">
      <c r="D55" s="19"/>
      <c r="J55" s="20"/>
      <c r="K55" s="21"/>
    </row>
    <row r="56" spans="4:11" ht="14.25" customHeight="1">
      <c r="D56" s="19"/>
      <c r="J56" s="20"/>
      <c r="K56" s="21"/>
    </row>
    <row r="57" spans="4:11" ht="14.25" customHeight="1">
      <c r="D57" s="19"/>
      <c r="J57" s="20"/>
      <c r="K57" s="21"/>
    </row>
    <row r="58" spans="4:11" ht="14.25" customHeight="1">
      <c r="D58" s="19"/>
      <c r="J58" s="20"/>
      <c r="K58" s="21"/>
    </row>
    <row r="59" spans="4:11" ht="14.25" customHeight="1">
      <c r="D59" s="19"/>
      <c r="J59" s="20"/>
      <c r="K59" s="21"/>
    </row>
    <row r="60" spans="4:11" ht="14.25" customHeight="1">
      <c r="D60" s="19"/>
      <c r="J60" s="20"/>
      <c r="K60" s="21"/>
    </row>
    <row r="61" spans="4:11" ht="14.25" customHeight="1">
      <c r="D61" s="19"/>
      <c r="J61" s="20"/>
      <c r="K61" s="21"/>
    </row>
    <row r="62" spans="4:11" ht="14.25" customHeight="1">
      <c r="D62" s="19"/>
      <c r="J62" s="20"/>
      <c r="K62" s="21"/>
    </row>
    <row r="63" spans="4:11" ht="14.25" customHeight="1">
      <c r="D63" s="19"/>
      <c r="J63" s="20"/>
      <c r="K63" s="21"/>
    </row>
    <row r="64" spans="4:11" ht="14.25" customHeight="1">
      <c r="D64" s="19"/>
      <c r="J64" s="20"/>
      <c r="K64" s="21"/>
    </row>
    <row r="65" spans="4:11" ht="14.25" customHeight="1">
      <c r="D65" s="19"/>
      <c r="J65" s="20"/>
      <c r="K65" s="21"/>
    </row>
    <row r="66" spans="4:11" ht="14.25" customHeight="1">
      <c r="D66" s="19"/>
      <c r="J66" s="20"/>
      <c r="K66" s="21"/>
    </row>
    <row r="67" spans="4:11" ht="14.25" customHeight="1">
      <c r="D67" s="19"/>
      <c r="J67" s="20"/>
      <c r="K67" s="21"/>
    </row>
    <row r="68" spans="4:11" ht="14.25" customHeight="1">
      <c r="D68" s="19"/>
      <c r="J68" s="20"/>
      <c r="K68" s="21"/>
    </row>
    <row r="69" spans="4:11" ht="14.25" customHeight="1">
      <c r="D69" s="19"/>
      <c r="J69" s="20"/>
      <c r="K69" s="21"/>
    </row>
    <row r="70" spans="4:11" ht="14.25" customHeight="1">
      <c r="D70" s="19"/>
      <c r="J70" s="20"/>
      <c r="K70" s="21"/>
    </row>
    <row r="71" spans="4:11" ht="14.25" customHeight="1">
      <c r="D71" s="19"/>
      <c r="J71" s="20"/>
      <c r="K71" s="21"/>
    </row>
    <row r="72" spans="4:11" ht="14.25" customHeight="1">
      <c r="D72" s="19"/>
      <c r="J72" s="20"/>
      <c r="K72" s="21"/>
    </row>
    <row r="73" spans="4:11" ht="14.25" customHeight="1">
      <c r="D73" s="19"/>
      <c r="J73" s="20"/>
      <c r="K73" s="21"/>
    </row>
    <row r="74" spans="4:11" ht="14.25" customHeight="1">
      <c r="D74" s="19"/>
      <c r="J74" s="20"/>
      <c r="K74" s="21"/>
    </row>
    <row r="75" spans="4:11" ht="14.25" customHeight="1">
      <c r="D75" s="19"/>
      <c r="J75" s="20"/>
      <c r="K75" s="21"/>
    </row>
    <row r="76" spans="4:11" ht="14.25" customHeight="1">
      <c r="D76" s="19"/>
      <c r="J76" s="20"/>
      <c r="K76" s="21"/>
    </row>
    <row r="77" spans="4:11" ht="14.25" customHeight="1">
      <c r="D77" s="19"/>
      <c r="J77" s="20"/>
      <c r="K77" s="21"/>
    </row>
    <row r="78" spans="4:11" ht="14.25" customHeight="1">
      <c r="D78" s="19"/>
      <c r="J78" s="20"/>
      <c r="K78" s="21"/>
    </row>
    <row r="79" spans="4:11" ht="14.25" customHeight="1">
      <c r="D79" s="19"/>
      <c r="J79" s="20"/>
      <c r="K79" s="21"/>
    </row>
    <row r="80" spans="4:11" ht="14.25" customHeight="1">
      <c r="D80" s="19"/>
      <c r="J80" s="20"/>
      <c r="K80" s="21"/>
    </row>
    <row r="81" spans="4:11" ht="14.25" customHeight="1">
      <c r="D81" s="19"/>
      <c r="J81" s="20"/>
      <c r="K81" s="21"/>
    </row>
    <row r="82" spans="4:11" ht="14.25" customHeight="1">
      <c r="D82" s="19"/>
      <c r="J82" s="20"/>
      <c r="K82" s="21"/>
    </row>
    <row r="83" spans="4:11" ht="14.25" customHeight="1">
      <c r="D83" s="19"/>
      <c r="J83" s="20"/>
      <c r="K83" s="21"/>
    </row>
    <row r="84" spans="4:11" ht="14.25" customHeight="1">
      <c r="D84" s="19"/>
      <c r="J84" s="20"/>
      <c r="K84" s="21"/>
    </row>
    <row r="85" spans="4:11" ht="14.25" customHeight="1">
      <c r="D85" s="19"/>
      <c r="J85" s="20"/>
      <c r="K85" s="21"/>
    </row>
    <row r="86" spans="4:11" ht="14.25" customHeight="1">
      <c r="D86" s="19"/>
      <c r="J86" s="20"/>
      <c r="K86" s="21"/>
    </row>
    <row r="87" spans="4:11" ht="14.25" customHeight="1">
      <c r="D87" s="19"/>
      <c r="J87" s="20"/>
      <c r="K87" s="21"/>
    </row>
    <row r="88" spans="4:11" ht="14.25" customHeight="1">
      <c r="D88" s="19"/>
      <c r="J88" s="20"/>
      <c r="K88" s="21"/>
    </row>
    <row r="89" spans="4:11" ht="14.25" customHeight="1">
      <c r="D89" s="19"/>
      <c r="J89" s="20"/>
      <c r="K89" s="21"/>
    </row>
    <row r="90" spans="4:11" ht="14.25" customHeight="1">
      <c r="D90" s="19"/>
      <c r="J90" s="20"/>
      <c r="K90" s="21"/>
    </row>
    <row r="91" spans="4:11" ht="14.25" customHeight="1">
      <c r="D91" s="19"/>
      <c r="J91" s="20"/>
      <c r="K91" s="21"/>
    </row>
    <row r="92" spans="4:11" ht="14.25" customHeight="1">
      <c r="D92" s="19"/>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sheetData>
  <printOptions/>
  <pageMargins left="0.75" right="0.75"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A1:R515"/>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153</v>
      </c>
    </row>
    <row r="2" spans="2:17" ht="14.25" customHeight="1">
      <c r="B2" s="3"/>
      <c r="D2" s="3"/>
      <c r="K2" s="6"/>
      <c r="L2" s="6"/>
      <c r="M2" s="6"/>
      <c r="N2" s="6"/>
      <c r="O2" s="6"/>
      <c r="P2" s="6"/>
      <c r="Q2" s="6"/>
    </row>
    <row r="3" spans="2:17" ht="14.25" customHeight="1">
      <c r="B3" s="3"/>
      <c r="D3" s="3"/>
      <c r="F3" s="27" t="s">
        <v>53</v>
      </c>
      <c r="G3" s="25">
        <v>0.0727</v>
      </c>
      <c r="H3" s="26" t="s">
        <v>54</v>
      </c>
      <c r="I3" s="25">
        <f>G3*1000</f>
        <v>72.7</v>
      </c>
      <c r="J3" s="26" t="s">
        <v>55</v>
      </c>
      <c r="K3" s="6"/>
      <c r="L3" s="6"/>
      <c r="M3" s="6"/>
      <c r="N3" s="6"/>
      <c r="O3" s="6"/>
      <c r="P3" s="6"/>
      <c r="Q3"/>
    </row>
    <row r="4" spans="1:17" ht="14.25" customHeight="1">
      <c r="A4" s="24"/>
      <c r="B4" s="3"/>
      <c r="D4" s="3"/>
      <c r="F4" s="27" t="s">
        <v>56</v>
      </c>
      <c r="G4" s="25">
        <v>0.001</v>
      </c>
      <c r="H4" s="26" t="s">
        <v>57</v>
      </c>
      <c r="I4" s="25">
        <f>G4*1000/100</f>
        <v>0.01</v>
      </c>
      <c r="J4" s="26" t="s">
        <v>58</v>
      </c>
      <c r="K4" s="6"/>
      <c r="L4" s="6"/>
      <c r="M4" s="6"/>
      <c r="N4" s="6"/>
      <c r="O4" s="6"/>
      <c r="P4" s="6"/>
      <c r="Q4" s="6"/>
    </row>
    <row r="5" spans="2:17" ht="14.25" customHeight="1">
      <c r="B5" s="3"/>
      <c r="D5" s="3"/>
      <c r="F5" s="28" t="s">
        <v>59</v>
      </c>
      <c r="G5" s="29">
        <v>1</v>
      </c>
      <c r="H5" s="30" t="s">
        <v>60</v>
      </c>
      <c r="I5" s="6"/>
      <c r="J5" s="6"/>
      <c r="K5" s="6"/>
      <c r="L5" s="6"/>
      <c r="M5" s="6"/>
      <c r="N5" s="6"/>
      <c r="O5" s="6"/>
      <c r="P5" s="6"/>
      <c r="Q5" s="6"/>
    </row>
    <row r="6" spans="2:17" ht="14.25" customHeight="1">
      <c r="B6" s="3"/>
      <c r="D6" s="3"/>
      <c r="F6" s="31" t="s">
        <v>62</v>
      </c>
      <c r="G6" s="32">
        <v>9.81</v>
      </c>
      <c r="H6" s="26" t="s">
        <v>63</v>
      </c>
      <c r="I6" s="25">
        <f>G6*100</f>
        <v>981</v>
      </c>
      <c r="J6" s="26" t="s">
        <v>64</v>
      </c>
      <c r="K6" s="6"/>
      <c r="L6" s="18"/>
      <c r="M6" s="6"/>
      <c r="N6" s="6"/>
      <c r="O6" s="6"/>
      <c r="P6" s="6"/>
      <c r="Q6" s="6"/>
    </row>
    <row r="7" spans="4:17" ht="14.25" customHeight="1">
      <c r="D7" s="6"/>
      <c r="F7" s="27" t="s">
        <v>65</v>
      </c>
      <c r="G7" s="34">
        <f>J7/100</f>
        <v>0.01</v>
      </c>
      <c r="H7" s="17"/>
      <c r="I7" s="6"/>
      <c r="J7" s="6">
        <v>1</v>
      </c>
      <c r="K7" s="6"/>
      <c r="P7" s="6"/>
      <c r="Q7" s="6"/>
    </row>
    <row r="8" spans="4:17" ht="14.25" customHeight="1">
      <c r="D8" s="6"/>
      <c r="F8" s="27" t="s">
        <v>66</v>
      </c>
      <c r="G8" s="33">
        <v>0.1</v>
      </c>
      <c r="H8" s="6"/>
      <c r="I8" s="6"/>
      <c r="J8" s="6"/>
      <c r="K8" s="6"/>
      <c r="P8" s="6"/>
      <c r="Q8" s="6"/>
    </row>
    <row r="9" spans="4:17" ht="14.25" customHeight="1">
      <c r="D9" s="6"/>
      <c r="P9" s="6"/>
      <c r="Q9" s="6"/>
    </row>
    <row r="10" spans="4:17" ht="14.25" customHeight="1">
      <c r="D10" s="6"/>
      <c r="P10" s="6"/>
      <c r="Q10" s="6"/>
    </row>
    <row r="11" spans="4:17" ht="14.25" customHeight="1">
      <c r="D11" s="3"/>
      <c r="P11" s="6"/>
      <c r="Q11" s="6"/>
    </row>
    <row r="12" spans="4:17" ht="14.25" customHeight="1">
      <c r="D12" s="3"/>
      <c r="F12" s="6"/>
      <c r="G12" s="6"/>
      <c r="H12" s="6"/>
      <c r="I12" s="6"/>
      <c r="J12" s="6"/>
      <c r="P12" s="6"/>
      <c r="Q12" s="6"/>
    </row>
    <row r="13" spans="2:17" ht="14.25" customHeight="1">
      <c r="B13" s="3"/>
      <c r="D13" s="3"/>
      <c r="P13" s="6"/>
      <c r="Q13" s="6"/>
    </row>
    <row r="14" spans="9:11" ht="14.25" customHeight="1">
      <c r="I14" s="3"/>
      <c r="K14" s="3"/>
    </row>
    <row r="18" spans="2:3" ht="14.25" customHeight="1">
      <c r="B18" s="4" t="s">
        <v>50</v>
      </c>
      <c r="C18" s="5">
        <v>0.04</v>
      </c>
    </row>
    <row r="19" spans="2:3" ht="14.25" customHeight="1">
      <c r="B19" s="7" t="s">
        <v>51</v>
      </c>
      <c r="C19" s="8">
        <v>0.6</v>
      </c>
    </row>
    <row r="20" spans="2:3" ht="14.25" customHeight="1">
      <c r="B20" s="9" t="s">
        <v>52</v>
      </c>
      <c r="C20" s="10">
        <v>0.02</v>
      </c>
    </row>
    <row r="21" spans="2:3" ht="14.25" customHeight="1">
      <c r="B21" s="11" t="s">
        <v>0</v>
      </c>
      <c r="C21" s="12">
        <v>1.5</v>
      </c>
    </row>
    <row r="22" spans="2:3" ht="14.25" customHeight="1">
      <c r="B22" s="13" t="s">
        <v>1</v>
      </c>
      <c r="C22" s="10">
        <v>0.5</v>
      </c>
    </row>
    <row r="23" spans="2:3" ht="14.25" customHeight="1">
      <c r="B23" s="14" t="s">
        <v>61</v>
      </c>
      <c r="C23" s="15">
        <v>790</v>
      </c>
    </row>
    <row r="39" spans="2:9" ht="14.25" customHeight="1">
      <c r="B39" s="22" t="s">
        <v>67</v>
      </c>
      <c r="C39" s="20" t="s">
        <v>68</v>
      </c>
      <c r="D39" s="22" t="s">
        <v>69</v>
      </c>
      <c r="E39" s="22" t="s">
        <v>70</v>
      </c>
      <c r="F39" s="22" t="s">
        <v>71</v>
      </c>
      <c r="G39" s="22" t="s">
        <v>72</v>
      </c>
      <c r="H39" s="22" t="s">
        <v>72</v>
      </c>
      <c r="I39" s="22" t="s">
        <v>73</v>
      </c>
    </row>
    <row r="40" spans="1:9" ht="14.25" customHeight="1">
      <c r="A40" s="20" t="s">
        <v>51</v>
      </c>
      <c r="B40" s="21">
        <v>0</v>
      </c>
      <c r="C40" s="2">
        <f>$C$19</f>
        <v>0.6</v>
      </c>
      <c r="D40" s="2">
        <f>IF(C40&lt;$C$18,"",1/$C$20*(((C40-$C$18)/($C$19-$C$18))^(-$C$21/($C$21-1))-1)^(1/$C$21))</f>
        <v>0</v>
      </c>
      <c r="I40" s="23">
        <f>$G$7*$I$3^2*$G$8/(2*$I$4*$G$5*$I$6)*SUM(H41:H347)*60*60*24</f>
        <v>15.411387124724454</v>
      </c>
    </row>
    <row r="41" spans="1:9" ht="14.25" customHeight="1">
      <c r="A41" s="20" t="s">
        <v>74</v>
      </c>
      <c r="B41" s="21">
        <v>1</v>
      </c>
      <c r="C41" s="2">
        <f>$C$40-$G$8*B41</f>
        <v>0.5</v>
      </c>
      <c r="D41" s="2">
        <f>1/$C$20*(((C41-$C$18)/($C$19-$C$18))^(-$C$21/($C$21-1))-1)^(1/$C$21)</f>
        <v>43.240252263715526</v>
      </c>
      <c r="E41" s="2">
        <f>2*$I$3/($G$5*$I$6*D41)</f>
        <v>0.0034277345356434176</v>
      </c>
      <c r="F41" s="2">
        <f>$G$8/PI()/E41^2</f>
        <v>2709.1669380125304</v>
      </c>
      <c r="G41" s="2">
        <f>1/D41^2</f>
        <v>0.000534839608303588</v>
      </c>
      <c r="H41" s="2">
        <f>IF(C41&gt;$C$18,G41,0)</f>
        <v>0.000534839608303588</v>
      </c>
      <c r="I41" s="23">
        <f>$G$7*$I$3^2*$G$8/(2*$I$4*$G$5*$I$6)*SUM(H42:H348)*60*60*24</f>
        <v>2.963170904375666</v>
      </c>
    </row>
    <row r="42" spans="1:9" ht="14.25" customHeight="1">
      <c r="A42" s="20" t="s">
        <v>75</v>
      </c>
      <c r="B42" s="21">
        <v>2</v>
      </c>
      <c r="C42" s="2">
        <f>$C$40-$G$8*B42</f>
        <v>0.39999999999999997</v>
      </c>
      <c r="D42" s="2">
        <f>1/$C$20*(((C42-$C$18)/($C$19-$C$18))^(-$C$21/($C$21-1))-1)^(1/$C$21)</f>
        <v>98.4770474628614</v>
      </c>
      <c r="E42" s="2">
        <f>2*$I$3/($G$5*$I$6*D42)</f>
        <v>0.0015050827561637428</v>
      </c>
      <c r="F42" s="2">
        <f>$G$8/PI()/E42^2</f>
        <v>14051.71611577104</v>
      </c>
      <c r="G42" s="2">
        <f>1/D42^2</f>
        <v>0.00010311692693032646</v>
      </c>
      <c r="H42" s="2">
        <f>IF(C42&gt;$C$18,G42,0)</f>
        <v>0.00010311692693032646</v>
      </c>
      <c r="I42" s="23">
        <f>$G$7*$I$3^2*$G$8/(2*$I$4*$G$5*$I$6)*SUM(H43:H349)*60*60*24</f>
        <v>0.5631582978336397</v>
      </c>
    </row>
    <row r="43" spans="1:9" ht="14.25" customHeight="1">
      <c r="A43" s="20" t="s">
        <v>40</v>
      </c>
      <c r="B43" s="21">
        <v>3</v>
      </c>
      <c r="C43" s="2">
        <f>$C$40-$G$8*B43</f>
        <v>0.29999999999999993</v>
      </c>
      <c r="D43" s="2">
        <f>1/$C$20*(((C43-$C$18)/($C$19-$C$18))^(-$C$21/($C$21-1))-1)^(1/$C$21)</f>
        <v>216.2061229853518</v>
      </c>
      <c r="E43" s="2">
        <f>2*$I$3/($G$5*$I$6*D43)</f>
        <v>0.000685531491743705</v>
      </c>
      <c r="F43" s="2">
        <f>$G$8/PI()/E43^2</f>
        <v>67732.21950446098</v>
      </c>
      <c r="G43" s="2">
        <f>1/D43^2</f>
        <v>2.1392622219625048E-05</v>
      </c>
      <c r="H43" s="2">
        <f>IF(C43&gt;$C$18,G43,0)</f>
        <v>2.1392622219625048E-05</v>
      </c>
      <c r="I43" s="23">
        <f>$G$7*$I$3^2*$G$8/(2*$I$4*$G$5*$I$6)*SUM(H44:H350)*60*60*24</f>
        <v>0.06525204187255908</v>
      </c>
    </row>
    <row r="44" spans="1:9" ht="14.25" customHeight="1">
      <c r="A44" s="20" t="s">
        <v>41</v>
      </c>
      <c r="B44" s="21">
        <v>4</v>
      </c>
      <c r="C44" s="2">
        <f>$C$40-$G$8*B44</f>
        <v>0.19999999999999996</v>
      </c>
      <c r="D44" s="2">
        <f>1/$C$20*(((C44-$C$18)/($C$19-$C$18))^(-$C$21/($C$21-1))-1)^(1/$C$21)</f>
        <v>602.9387797929954</v>
      </c>
      <c r="E44" s="2">
        <f>2*$I$3/($G$5*$I$6*D44)</f>
        <v>0.00024582281150527024</v>
      </c>
      <c r="F44" s="2">
        <f>$G$8/PI()/E44^2</f>
        <v>526751.4798914236</v>
      </c>
      <c r="G44" s="2">
        <f>1/D44^2</f>
        <v>2.750765473415132E-06</v>
      </c>
      <c r="H44" s="2">
        <f>IF(C44&gt;$C$18,G44,0)</f>
        <v>2.750765473415132E-06</v>
      </c>
      <c r="I44" s="23">
        <f>$G$7*$I$3^2*$G$8/(2*$I$4*$G$5*$I$6)*SUM(H45:H351)*60*60*24</f>
        <v>0.0012288789412434387</v>
      </c>
    </row>
    <row r="45" spans="1:9" ht="14.25" customHeight="1">
      <c r="A45" s="20" t="s">
        <v>42</v>
      </c>
      <c r="B45" s="21">
        <v>5</v>
      </c>
      <c r="C45" s="2">
        <f>$C$40-$G$8*B45</f>
        <v>0.09999999999999998</v>
      </c>
      <c r="D45" s="2">
        <f>1/$C$20*(((C45-$C$18)/($C$19-$C$18))^(-$C$21/($C$21-1))-1)^(1/$C$21)</f>
        <v>4351.983394466806</v>
      </c>
      <c r="E45" s="2">
        <f>2*$I$3/($G$5*$I$6*D45)</f>
        <v>3.405713960276501E-05</v>
      </c>
      <c r="F45" s="2">
        <f>$G$8/PI()/E45^2</f>
        <v>27443139.18120884</v>
      </c>
      <c r="G45" s="2">
        <f>1/D45^2</f>
        <v>5.279898099076825E-08</v>
      </c>
      <c r="H45" s="2">
        <f>IF(C45&gt;$C$18,G45,0)</f>
        <v>5.279898099076825E-08</v>
      </c>
      <c r="I45" s="23"/>
    </row>
    <row r="46" spans="4:18" ht="14.25" customHeight="1">
      <c r="D46" s="19"/>
      <c r="J46" s="20"/>
      <c r="K46" s="21"/>
      <c r="R46" s="23"/>
    </row>
    <row r="47" spans="4:18" ht="14.25" customHeight="1">
      <c r="D47" s="19"/>
      <c r="J47" s="20"/>
      <c r="K47" s="21"/>
      <c r="R47" s="23"/>
    </row>
    <row r="48" spans="4:18" ht="14.25" customHeight="1">
      <c r="D48" s="19"/>
      <c r="J48" s="20"/>
      <c r="K48" s="21"/>
      <c r="R48" s="23"/>
    </row>
    <row r="49" spans="4:18" ht="14.25" customHeight="1">
      <c r="D49" s="19"/>
      <c r="J49" s="20"/>
      <c r="K49" s="21"/>
      <c r="R49" s="23"/>
    </row>
    <row r="50" spans="4:18" ht="14.25" customHeight="1">
      <c r="D50" s="19"/>
      <c r="J50" s="20"/>
      <c r="K50" s="21"/>
      <c r="R50" s="23"/>
    </row>
    <row r="51" spans="4:11" ht="14.25" customHeight="1">
      <c r="D51" s="19"/>
      <c r="J51" s="20"/>
      <c r="K51" s="21"/>
    </row>
    <row r="52" spans="4:11" ht="14.25" customHeight="1">
      <c r="D52" s="19"/>
      <c r="J52" s="20"/>
      <c r="K52" s="21"/>
    </row>
    <row r="53" spans="4:11" ht="14.25" customHeight="1">
      <c r="D53" s="19"/>
      <c r="J53" s="20"/>
      <c r="K53" s="21"/>
    </row>
    <row r="54" spans="4:11" ht="14.25" customHeight="1">
      <c r="D54" s="19"/>
      <c r="J54" s="20"/>
      <c r="K54" s="21"/>
    </row>
    <row r="55" spans="4:11" ht="14.25" customHeight="1">
      <c r="D55" s="19"/>
      <c r="J55" s="20"/>
      <c r="K55" s="21"/>
    </row>
    <row r="56" spans="4:11" ht="14.25" customHeight="1">
      <c r="D56" s="19"/>
      <c r="J56" s="20"/>
      <c r="K56" s="21"/>
    </row>
    <row r="57" spans="4:11" ht="14.25" customHeight="1">
      <c r="D57" s="19"/>
      <c r="J57" s="20"/>
      <c r="K57" s="21"/>
    </row>
    <row r="58" spans="4:11" ht="14.25" customHeight="1">
      <c r="D58" s="19"/>
      <c r="J58" s="20"/>
      <c r="K58" s="21"/>
    </row>
    <row r="59" spans="4:11" ht="14.25" customHeight="1">
      <c r="D59" s="19"/>
      <c r="J59" s="20"/>
      <c r="K59" s="21"/>
    </row>
    <row r="60" spans="4:11" ht="14.25" customHeight="1">
      <c r="D60" s="19"/>
      <c r="J60" s="20"/>
      <c r="K60" s="21"/>
    </row>
    <row r="61" spans="4:11" ht="14.25" customHeight="1">
      <c r="D61" s="19"/>
      <c r="J61" s="20"/>
      <c r="K61" s="21"/>
    </row>
    <row r="62" spans="4:11" ht="14.25" customHeight="1">
      <c r="D62" s="19"/>
      <c r="J62" s="20"/>
      <c r="K62" s="21"/>
    </row>
    <row r="63" spans="4:11" ht="14.25" customHeight="1">
      <c r="D63" s="19"/>
      <c r="J63" s="20"/>
      <c r="K63" s="21"/>
    </row>
    <row r="64" spans="4:11" ht="14.25" customHeight="1">
      <c r="D64" s="19"/>
      <c r="J64" s="20"/>
      <c r="K64" s="21"/>
    </row>
    <row r="65" spans="4:11" ht="14.25" customHeight="1">
      <c r="D65" s="19"/>
      <c r="J65" s="20"/>
      <c r="K65" s="21"/>
    </row>
    <row r="66" spans="4:11" ht="14.25" customHeight="1">
      <c r="D66" s="19"/>
      <c r="J66" s="20"/>
      <c r="K66" s="21"/>
    </row>
    <row r="67" spans="4:11" ht="14.25" customHeight="1">
      <c r="D67" s="19"/>
      <c r="J67" s="20"/>
      <c r="K67" s="21"/>
    </row>
    <row r="68" spans="4:11" ht="14.25" customHeight="1">
      <c r="D68" s="19"/>
      <c r="J68" s="20"/>
      <c r="K68" s="21"/>
    </row>
    <row r="69" spans="4:11" ht="14.25" customHeight="1">
      <c r="D69" s="19"/>
      <c r="J69" s="20"/>
      <c r="K69" s="21"/>
    </row>
    <row r="70" spans="4:11" ht="14.25" customHeight="1">
      <c r="D70" s="19"/>
      <c r="J70" s="20"/>
      <c r="K70" s="21"/>
    </row>
    <row r="71" spans="4:11" ht="14.25" customHeight="1">
      <c r="D71" s="19"/>
      <c r="J71" s="20"/>
      <c r="K71" s="21"/>
    </row>
    <row r="72" spans="4:11" ht="14.25" customHeight="1">
      <c r="D72" s="19"/>
      <c r="J72" s="20"/>
      <c r="K72" s="21"/>
    </row>
    <row r="73" spans="4:11" ht="14.25" customHeight="1">
      <c r="D73" s="19"/>
      <c r="J73" s="20"/>
      <c r="K73" s="21"/>
    </row>
    <row r="74" spans="4:11" ht="14.25" customHeight="1">
      <c r="D74" s="19"/>
      <c r="J74" s="20"/>
      <c r="K74" s="21"/>
    </row>
    <row r="75" spans="4:11" ht="14.25" customHeight="1">
      <c r="D75" s="19"/>
      <c r="J75" s="20"/>
      <c r="K75" s="21"/>
    </row>
    <row r="76" spans="4:11" ht="14.25" customHeight="1">
      <c r="D76" s="19"/>
      <c r="J76" s="20"/>
      <c r="K76" s="21"/>
    </row>
    <row r="77" spans="4:11" ht="14.25" customHeight="1">
      <c r="D77" s="19"/>
      <c r="J77" s="20"/>
      <c r="K77" s="21"/>
    </row>
    <row r="78" spans="4:11" ht="14.25" customHeight="1">
      <c r="D78" s="19"/>
      <c r="J78" s="20"/>
      <c r="K78" s="21"/>
    </row>
    <row r="79" spans="4:11" ht="14.25" customHeight="1">
      <c r="D79" s="19"/>
      <c r="J79" s="20"/>
      <c r="K79" s="21"/>
    </row>
    <row r="80" spans="4:11" ht="14.25" customHeight="1">
      <c r="D80" s="19"/>
      <c r="J80" s="20"/>
      <c r="K80" s="21"/>
    </row>
    <row r="81" spans="4:11" ht="14.25" customHeight="1">
      <c r="D81" s="19"/>
      <c r="J81" s="20"/>
      <c r="K81" s="21"/>
    </row>
    <row r="82" spans="4:11" ht="14.25" customHeight="1">
      <c r="D82" s="19"/>
      <c r="J82" s="20"/>
      <c r="K82" s="21"/>
    </row>
    <row r="83" spans="4:11" ht="14.25" customHeight="1">
      <c r="D83" s="19"/>
      <c r="J83" s="20"/>
      <c r="K83" s="21"/>
    </row>
    <row r="84" spans="4:11" ht="14.25" customHeight="1">
      <c r="D84" s="19"/>
      <c r="J84" s="20"/>
      <c r="K84" s="21"/>
    </row>
    <row r="85" spans="4:11" ht="14.25" customHeight="1">
      <c r="D85" s="19"/>
      <c r="J85" s="20"/>
      <c r="K85" s="21"/>
    </row>
    <row r="86" spans="4:11" ht="14.25" customHeight="1">
      <c r="D86" s="19"/>
      <c r="J86" s="20"/>
      <c r="K86" s="21"/>
    </row>
    <row r="87" spans="4:11" ht="14.25" customHeight="1">
      <c r="D87" s="19"/>
      <c r="J87" s="20"/>
      <c r="K87" s="21"/>
    </row>
    <row r="88" spans="4:11" ht="14.25" customHeight="1">
      <c r="D88" s="19"/>
      <c r="J88" s="20"/>
      <c r="K88" s="21"/>
    </row>
    <row r="89" spans="4:11" ht="14.25" customHeight="1">
      <c r="D89" s="19"/>
      <c r="J89" s="20"/>
      <c r="K89" s="21"/>
    </row>
    <row r="90" spans="4:11" ht="14.25" customHeight="1">
      <c r="D90" s="19"/>
      <c r="J90" s="20"/>
      <c r="K90" s="21"/>
    </row>
    <row r="91" spans="4:11" ht="14.25" customHeight="1">
      <c r="D91" s="19"/>
      <c r="J91" s="20"/>
      <c r="K91" s="21"/>
    </row>
    <row r="92" spans="4:11" ht="14.25" customHeight="1">
      <c r="D92" s="19"/>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sheetData>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9"/>
  <dimension ref="A1:Q519"/>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76</v>
      </c>
    </row>
    <row r="2" spans="1:17" ht="14.25" customHeight="1">
      <c r="A2" s="35" t="s">
        <v>154</v>
      </c>
      <c r="B2" s="3"/>
      <c r="D2" s="3"/>
      <c r="K2" s="6"/>
      <c r="L2" s="6"/>
      <c r="M2" s="6"/>
      <c r="N2" s="6"/>
      <c r="O2" s="6"/>
      <c r="P2" s="6"/>
      <c r="Q2" s="6"/>
    </row>
    <row r="3" spans="2:17" ht="14.25" customHeight="1">
      <c r="B3" s="3"/>
      <c r="D3" s="3"/>
      <c r="K3" s="6"/>
      <c r="L3" s="6"/>
      <c r="M3" s="6"/>
      <c r="N3" s="6"/>
      <c r="O3" s="6"/>
      <c r="P3" s="6"/>
      <c r="Q3"/>
    </row>
    <row r="4" spans="1:17" ht="14.25" customHeight="1">
      <c r="A4" s="24"/>
      <c r="B4" s="3"/>
      <c r="D4" s="3"/>
      <c r="K4" s="6"/>
      <c r="L4" s="6"/>
      <c r="M4" s="6"/>
      <c r="N4" s="6"/>
      <c r="O4" s="6"/>
      <c r="P4" s="6"/>
      <c r="Q4" s="6"/>
    </row>
    <row r="5" spans="2:17" ht="14.25" customHeight="1">
      <c r="B5" s="3"/>
      <c r="D5" s="3"/>
      <c r="K5" s="6"/>
      <c r="L5" s="6"/>
      <c r="M5" s="6"/>
      <c r="N5" s="6"/>
      <c r="O5" s="6"/>
      <c r="P5" s="6"/>
      <c r="Q5" s="6"/>
    </row>
    <row r="6" spans="2:17" ht="14.25" customHeight="1">
      <c r="B6" s="3"/>
      <c r="D6" s="3"/>
      <c r="K6" s="6"/>
      <c r="L6" s="6"/>
      <c r="M6" s="24"/>
      <c r="N6" s="6"/>
      <c r="O6" s="6"/>
      <c r="P6" s="6"/>
      <c r="Q6" s="6"/>
    </row>
    <row r="7" spans="4:17" ht="14.25" customHeight="1">
      <c r="D7" s="6"/>
      <c r="K7" s="6"/>
      <c r="L7" s="6"/>
      <c r="M7" s="6"/>
      <c r="N7" s="6"/>
      <c r="O7" s="6"/>
      <c r="P7" s="6"/>
      <c r="Q7" s="6"/>
    </row>
    <row r="8" spans="4:17" ht="14.25" customHeight="1">
      <c r="D8" s="6"/>
      <c r="K8" s="6"/>
      <c r="L8" s="6"/>
      <c r="M8" s="6"/>
      <c r="N8" s="6"/>
      <c r="O8" s="6"/>
      <c r="P8" s="6"/>
      <c r="Q8" s="6"/>
    </row>
    <row r="9" spans="4:17" ht="14.25" customHeight="1">
      <c r="D9" s="6"/>
      <c r="K9" s="6"/>
      <c r="L9" s="6"/>
      <c r="M9" s="6"/>
      <c r="N9" s="6"/>
      <c r="O9" s="6"/>
      <c r="P9" s="6"/>
      <c r="Q9" s="6"/>
    </row>
    <row r="10" spans="4:17" ht="14.25" customHeight="1">
      <c r="D10" s="6"/>
      <c r="G10" s="27" t="s">
        <v>77</v>
      </c>
      <c r="H10" s="25">
        <v>0.0727</v>
      </c>
      <c r="I10" s="26" t="s">
        <v>14</v>
      </c>
      <c r="J10" s="25">
        <f>H10*1000</f>
        <v>72.7</v>
      </c>
      <c r="K10" s="26" t="s">
        <v>18</v>
      </c>
      <c r="L10" s="18"/>
      <c r="M10" s="6"/>
      <c r="N10" s="6"/>
      <c r="O10" s="6"/>
      <c r="P10" s="6"/>
      <c r="Q10" s="6"/>
    </row>
    <row r="11" spans="4:17" ht="14.25" customHeight="1">
      <c r="D11" s="3"/>
      <c r="G11" s="27" t="s">
        <v>11</v>
      </c>
      <c r="H11" s="25">
        <v>0.001</v>
      </c>
      <c r="I11" s="26" t="s">
        <v>15</v>
      </c>
      <c r="J11" s="25">
        <f>H11*1000/100</f>
        <v>0.01</v>
      </c>
      <c r="K11" s="26" t="s">
        <v>19</v>
      </c>
      <c r="O11" s="6"/>
      <c r="P11" s="6"/>
      <c r="Q11" s="6"/>
    </row>
    <row r="12" spans="4:17" ht="14.25" customHeight="1">
      <c r="D12" s="3"/>
      <c r="G12" s="28" t="s">
        <v>12</v>
      </c>
      <c r="H12" s="29">
        <v>1</v>
      </c>
      <c r="I12" s="30" t="s">
        <v>16</v>
      </c>
      <c r="J12" s="6"/>
      <c r="K12" s="6"/>
      <c r="O12" s="6"/>
      <c r="P12" s="6"/>
      <c r="Q12" s="6"/>
    </row>
    <row r="13" spans="4:17" ht="14.25" customHeight="1">
      <c r="D13" s="3"/>
      <c r="G13" s="31" t="s">
        <v>13</v>
      </c>
      <c r="H13" s="32">
        <v>9.81</v>
      </c>
      <c r="I13" s="26" t="s">
        <v>17</v>
      </c>
      <c r="J13" s="25">
        <f>H13*100</f>
        <v>981</v>
      </c>
      <c r="K13" s="26" t="s">
        <v>20</v>
      </c>
      <c r="O13" s="6"/>
      <c r="P13" s="6"/>
      <c r="Q13" s="6"/>
    </row>
    <row r="14" spans="7:17" ht="14.25" customHeight="1">
      <c r="G14" s="27" t="s">
        <v>22</v>
      </c>
      <c r="H14" s="33">
        <v>0.01</v>
      </c>
      <c r="I14" s="17"/>
      <c r="J14" s="6"/>
      <c r="K14" s="6"/>
      <c r="O14" s="6"/>
      <c r="P14" s="6"/>
      <c r="Q14" s="6"/>
    </row>
    <row r="15" spans="15:17" ht="14.25" customHeight="1">
      <c r="O15" s="6"/>
      <c r="P15" s="6"/>
      <c r="Q15" s="6"/>
    </row>
    <row r="16" spans="12:17" ht="14.25" customHeight="1">
      <c r="L16" s="6"/>
      <c r="M16" s="6"/>
      <c r="N16" s="6"/>
      <c r="O16" s="6"/>
      <c r="P16" s="6"/>
      <c r="Q16" s="6"/>
    </row>
    <row r="17" spans="11:17" ht="14.25" customHeight="1">
      <c r="K17" s="6"/>
      <c r="L17" s="6"/>
      <c r="M17" s="6"/>
      <c r="N17" s="6"/>
      <c r="O17" s="6"/>
      <c r="P17" s="6"/>
      <c r="Q17" s="6"/>
    </row>
    <row r="18" spans="9:11" ht="14.25" customHeight="1">
      <c r="I18" s="3"/>
      <c r="K18" s="3"/>
    </row>
    <row r="21" spans="2:3" ht="14.25" customHeight="1">
      <c r="B21" s="4" t="s">
        <v>2</v>
      </c>
      <c r="C21" s="5">
        <v>0.04</v>
      </c>
    </row>
    <row r="22" spans="2:3" ht="14.25" customHeight="1">
      <c r="B22" s="7" t="s">
        <v>3</v>
      </c>
      <c r="C22" s="8">
        <v>0.6</v>
      </c>
    </row>
    <row r="23" spans="2:3" ht="14.25" customHeight="1">
      <c r="B23" s="9" t="s">
        <v>4</v>
      </c>
      <c r="C23" s="10">
        <v>0.02</v>
      </c>
    </row>
    <row r="24" spans="2:3" ht="14.25" customHeight="1">
      <c r="B24" s="11" t="s">
        <v>0</v>
      </c>
      <c r="C24" s="12">
        <v>1.5</v>
      </c>
    </row>
    <row r="25" spans="2:3" ht="14.25" customHeight="1">
      <c r="B25" s="13" t="s">
        <v>1</v>
      </c>
      <c r="C25" s="10">
        <v>0.5</v>
      </c>
    </row>
    <row r="26" spans="2:3" ht="14.25" customHeight="1">
      <c r="B26" s="14" t="s">
        <v>5</v>
      </c>
      <c r="C26" s="15">
        <v>790</v>
      </c>
    </row>
    <row r="40" spans="1:4" ht="14.25" customHeight="1">
      <c r="A40" s="16"/>
      <c r="B40" s="17"/>
      <c r="C40" s="18"/>
      <c r="D40" s="17"/>
    </row>
    <row r="41" spans="2:10" ht="14.25" customHeight="1">
      <c r="B41" s="22" t="s">
        <v>23</v>
      </c>
      <c r="C41" s="20" t="s">
        <v>8</v>
      </c>
      <c r="D41" s="22" t="s">
        <v>38</v>
      </c>
      <c r="E41" s="22" t="s">
        <v>37</v>
      </c>
      <c r="F41" s="22" t="s">
        <v>36</v>
      </c>
      <c r="G41" s="22" t="s">
        <v>39</v>
      </c>
      <c r="H41" s="22" t="s">
        <v>39</v>
      </c>
      <c r="I41" s="20" t="s">
        <v>43</v>
      </c>
      <c r="J41" s="22" t="s">
        <v>35</v>
      </c>
    </row>
    <row r="42" spans="1:10" ht="14.25" customHeight="1">
      <c r="A42" s="20" t="s">
        <v>3</v>
      </c>
      <c r="B42" s="21">
        <v>0</v>
      </c>
      <c r="C42" s="2">
        <f>$C$22</f>
        <v>0.6</v>
      </c>
      <c r="D42" s="2">
        <f>IF(C42&lt;$C$21,"",1/$C$23*(((C42-$C$21)/($C$22-$C$21))^(-$C$24/($C$24-1))-1)^(1/$C$24))</f>
        <v>0</v>
      </c>
      <c r="I42" s="2">
        <f aca="true" t="shared" si="0" ref="I42:I73">C42^(7/3)/$C$42^2</f>
        <v>0.8434326653017492</v>
      </c>
      <c r="J42" s="23">
        <f>I42*$J$10^2*$H$14/(2*$J$11*$H$12*$J$13)*SUM(H43:H349)*60*60*24</f>
        <v>8161.553846784229</v>
      </c>
    </row>
    <row r="43" spans="1:10" ht="14.25" customHeight="1">
      <c r="A43" s="20" t="s">
        <v>24</v>
      </c>
      <c r="B43" s="21">
        <v>1</v>
      </c>
      <c r="C43" s="2">
        <f aca="true" t="shared" si="1" ref="C43:C74">$C$42-$H$14*B43</f>
        <v>0.59</v>
      </c>
      <c r="D43" s="2">
        <f aca="true" t="shared" si="2" ref="D43:D74">1/$C$23*(((C43-$C$21)/($C$22-$C$21))^(-$C$24/($C$24-1))-1)^(1/$C$24)</f>
        <v>7.278757861437879</v>
      </c>
      <c r="E43" s="2">
        <f aca="true" t="shared" si="3" ref="E43:E74">2*$J$10/($H$12*$J$13*D43)</f>
        <v>0.020362829597547826</v>
      </c>
      <c r="F43" s="2">
        <f aca="true" t="shared" si="4" ref="F43:F74">$H$14/PI()/E43^2</f>
        <v>7.6766877036310035</v>
      </c>
      <c r="G43" s="2">
        <f aca="true" t="shared" si="5" ref="G43:G74">1/D43^2</f>
        <v>0.01887493460584965</v>
      </c>
      <c r="H43" s="2">
        <f aca="true" t="shared" si="6" ref="H43:H74">IF(C43&gt;$C$21,G43,0)</f>
        <v>0.01887493460584965</v>
      </c>
      <c r="I43" s="2">
        <f t="shared" si="0"/>
        <v>0.8109962755233604</v>
      </c>
      <c r="J43" s="23">
        <f aca="true" t="shared" si="7" ref="J43:J96">I43*$J$10^2*$H$14/(2*$J$11*$H$12*$J$13)*SUM(H44:H350)*60*60*24</f>
        <v>4284.909397670821</v>
      </c>
    </row>
    <row r="44" spans="1:10" ht="14.25" customHeight="1">
      <c r="A44" s="20" t="s">
        <v>25</v>
      </c>
      <c r="B44" s="21">
        <v>2</v>
      </c>
      <c r="C44" s="2">
        <f t="shared" si="1"/>
        <v>0.58</v>
      </c>
      <c r="D44" s="2">
        <f t="shared" si="2"/>
        <v>11.84310209736429</v>
      </c>
      <c r="E44" s="2">
        <f t="shared" si="3"/>
        <v>0.012514973255804068</v>
      </c>
      <c r="F44" s="2">
        <f t="shared" si="4"/>
        <v>20.323115042697616</v>
      </c>
      <c r="G44" s="2">
        <f t="shared" si="5"/>
        <v>0.007129663838006413</v>
      </c>
      <c r="H44" s="2">
        <f t="shared" si="6"/>
        <v>0.007129663838006413</v>
      </c>
      <c r="I44" s="2">
        <f t="shared" si="0"/>
        <v>0.7792847022059545</v>
      </c>
      <c r="J44" s="23">
        <f t="shared" si="7"/>
        <v>2824.2112993962455</v>
      </c>
    </row>
    <row r="45" spans="1:10" ht="14.25" customHeight="1">
      <c r="A45" s="20" t="s">
        <v>40</v>
      </c>
      <c r="B45" s="21">
        <v>3</v>
      </c>
      <c r="C45" s="2">
        <f t="shared" si="1"/>
        <v>0.57</v>
      </c>
      <c r="D45" s="2">
        <f t="shared" si="2"/>
        <v>15.916529284108272</v>
      </c>
      <c r="E45" s="2">
        <f t="shared" si="3"/>
        <v>0.009312087036603911</v>
      </c>
      <c r="F45" s="2">
        <f t="shared" si="4"/>
        <v>36.7076070741845</v>
      </c>
      <c r="G45" s="2">
        <f t="shared" si="5"/>
        <v>0.003947328359016559</v>
      </c>
      <c r="H45" s="2">
        <f t="shared" si="6"/>
        <v>0.003947328359016559</v>
      </c>
      <c r="I45" s="2">
        <f t="shared" si="0"/>
        <v>0.748293826851935</v>
      </c>
      <c r="J45" s="23">
        <f t="shared" si="7"/>
        <v>2024.418770264777</v>
      </c>
    </row>
    <row r="46" spans="1:10" ht="14.25" customHeight="1">
      <c r="A46" s="20" t="s">
        <v>41</v>
      </c>
      <c r="B46" s="21">
        <v>4</v>
      </c>
      <c r="C46" s="2">
        <f t="shared" si="1"/>
        <v>0.5599999999999999</v>
      </c>
      <c r="D46" s="2">
        <f t="shared" si="2"/>
        <v>19.788286243819712</v>
      </c>
      <c r="E46" s="2">
        <f t="shared" si="3"/>
        <v>0.007490093087801481</v>
      </c>
      <c r="F46" s="2">
        <f t="shared" si="4"/>
        <v>56.738218691916806</v>
      </c>
      <c r="G46" s="2">
        <f t="shared" si="5"/>
        <v>0.002553780885902363</v>
      </c>
      <c r="H46" s="2">
        <f t="shared" si="6"/>
        <v>0.002553780885902363</v>
      </c>
      <c r="I46" s="2">
        <f t="shared" si="0"/>
        <v>0.7180194833444239</v>
      </c>
      <c r="J46" s="23">
        <f t="shared" si="7"/>
        <v>1515.7358082059793</v>
      </c>
    </row>
    <row r="47" spans="1:10" ht="14.25" customHeight="1">
      <c r="A47" s="20" t="s">
        <v>42</v>
      </c>
      <c r="B47" s="21">
        <v>5</v>
      </c>
      <c r="C47" s="2">
        <f t="shared" si="1"/>
        <v>0.5499999999999999</v>
      </c>
      <c r="D47" s="2">
        <f t="shared" si="2"/>
        <v>23.58157798006598</v>
      </c>
      <c r="E47" s="2">
        <f t="shared" si="3"/>
        <v>0.006285249703796813</v>
      </c>
      <c r="F47" s="2">
        <f t="shared" si="4"/>
        <v>80.57587953584938</v>
      </c>
      <c r="G47" s="2">
        <f t="shared" si="5"/>
        <v>0.0017982674124096725</v>
      </c>
      <c r="H47" s="2">
        <f t="shared" si="6"/>
        <v>0.0017982674124096725</v>
      </c>
      <c r="I47" s="2">
        <f t="shared" si="0"/>
        <v>0.6884574565463758</v>
      </c>
      <c r="J47" s="23">
        <f t="shared" si="7"/>
        <v>1165.1829483337801</v>
      </c>
    </row>
    <row r="48" spans="1:10" ht="14.25" customHeight="1">
      <c r="A48" s="20" t="s">
        <v>44</v>
      </c>
      <c r="B48" s="21">
        <v>6</v>
      </c>
      <c r="C48" s="2">
        <f t="shared" si="1"/>
        <v>0.54</v>
      </c>
      <c r="D48" s="2">
        <f t="shared" si="2"/>
        <v>27.366665042894578</v>
      </c>
      <c r="E48" s="2">
        <f t="shared" si="3"/>
        <v>0.0054159359856948905</v>
      </c>
      <c r="F48" s="2">
        <f t="shared" si="4"/>
        <v>108.51832513872121</v>
      </c>
      <c r="G48" s="2">
        <f t="shared" si="5"/>
        <v>0.0013352305079380883</v>
      </c>
      <c r="H48" s="2">
        <f t="shared" si="6"/>
        <v>0.0013352305079380883</v>
      </c>
      <c r="I48" s="2">
        <f t="shared" si="0"/>
        <v>0.6596034808325624</v>
      </c>
      <c r="J48" s="23">
        <f t="shared" si="7"/>
        <v>911.3635924997354</v>
      </c>
    </row>
    <row r="49" spans="1:10" ht="14.25" customHeight="1">
      <c r="A49" s="20" t="s">
        <v>45</v>
      </c>
      <c r="B49" s="21">
        <v>7</v>
      </c>
      <c r="C49" s="2">
        <f t="shared" si="1"/>
        <v>0.53</v>
      </c>
      <c r="D49" s="2">
        <f t="shared" si="2"/>
        <v>31.191174428948777</v>
      </c>
      <c r="E49" s="2">
        <f t="shared" si="3"/>
        <v>0.004751860381272166</v>
      </c>
      <c r="F49" s="2">
        <f t="shared" si="4"/>
        <v>140.9687289042435</v>
      </c>
      <c r="G49" s="2">
        <f t="shared" si="5"/>
        <v>0.001027866105638153</v>
      </c>
      <c r="H49" s="2">
        <f t="shared" si="6"/>
        <v>0.001027866105638153</v>
      </c>
      <c r="I49" s="2">
        <f t="shared" si="0"/>
        <v>0.6314532385499214</v>
      </c>
      <c r="J49" s="23">
        <f t="shared" si="7"/>
        <v>721.404740695097</v>
      </c>
    </row>
    <row r="50" spans="1:10" ht="14.25" customHeight="1">
      <c r="A50" s="20" t="s">
        <v>46</v>
      </c>
      <c r="B50" s="21">
        <v>8</v>
      </c>
      <c r="C50" s="2">
        <f t="shared" si="1"/>
        <v>0.52</v>
      </c>
      <c r="D50" s="2">
        <f t="shared" si="2"/>
        <v>35.09161189673142</v>
      </c>
      <c r="E50" s="2">
        <f t="shared" si="3"/>
        <v>0.004223690449171889</v>
      </c>
      <c r="F50" s="2">
        <f t="shared" si="4"/>
        <v>178.42921470868222</v>
      </c>
      <c r="G50" s="2">
        <f t="shared" si="5"/>
        <v>0.000812069809487957</v>
      </c>
      <c r="H50" s="2">
        <f t="shared" si="6"/>
        <v>0.000812069809487957</v>
      </c>
      <c r="I50" s="2">
        <f t="shared" si="0"/>
        <v>0.6040023584013785</v>
      </c>
      <c r="J50" s="23">
        <f t="shared" si="7"/>
        <v>575.8830190315691</v>
      </c>
    </row>
    <row r="51" spans="1:10" ht="14.25" customHeight="1">
      <c r="A51" s="20" t="s">
        <v>47</v>
      </c>
      <c r="B51" s="21">
        <v>9</v>
      </c>
      <c r="C51" s="2">
        <f t="shared" si="1"/>
        <v>0.51</v>
      </c>
      <c r="D51" s="2">
        <f t="shared" si="2"/>
        <v>39.09870345956436</v>
      </c>
      <c r="E51" s="2">
        <f t="shared" si="3"/>
        <v>0.0037908189504942363</v>
      </c>
      <c r="F51" s="2">
        <f t="shared" si="4"/>
        <v>221.50525875780392</v>
      </c>
      <c r="G51" s="2">
        <f t="shared" si="5"/>
        <v>0.0006541469002051873</v>
      </c>
      <c r="H51" s="2">
        <f t="shared" si="6"/>
        <v>0.0006541469002051873</v>
      </c>
      <c r="I51" s="2">
        <f t="shared" si="0"/>
        <v>0.5772464137478023</v>
      </c>
      <c r="J51" s="23">
        <f t="shared" si="7"/>
        <v>462.48661813293353</v>
      </c>
    </row>
    <row r="52" spans="1:10" ht="14.25" customHeight="1">
      <c r="A52" s="20" t="s">
        <v>48</v>
      </c>
      <c r="B52" s="21">
        <v>10</v>
      </c>
      <c r="C52" s="2">
        <f t="shared" si="1"/>
        <v>0.5</v>
      </c>
      <c r="D52" s="2">
        <f t="shared" si="2"/>
        <v>43.240252263715526</v>
      </c>
      <c r="E52" s="2">
        <f t="shared" si="3"/>
        <v>0.0034277345356434176</v>
      </c>
      <c r="F52" s="2">
        <f t="shared" si="4"/>
        <v>270.9166938012531</v>
      </c>
      <c r="G52" s="2">
        <f t="shared" si="5"/>
        <v>0.000534839608303588</v>
      </c>
      <c r="H52" s="2">
        <f t="shared" si="6"/>
        <v>0.000534839608303588</v>
      </c>
      <c r="I52" s="2">
        <f t="shared" si="0"/>
        <v>0.5511809208222914</v>
      </c>
      <c r="J52" s="23">
        <f t="shared" si="7"/>
        <v>372.99089729397144</v>
      </c>
    </row>
    <row r="53" spans="1:10" ht="14.25" customHeight="1">
      <c r="A53" s="20" t="s">
        <v>49</v>
      </c>
      <c r="B53" s="21">
        <v>11</v>
      </c>
      <c r="C53" s="2">
        <f t="shared" si="1"/>
        <v>0.49</v>
      </c>
      <c r="D53" s="2">
        <f t="shared" si="2"/>
        <v>47.54285707283288</v>
      </c>
      <c r="E53" s="2">
        <f t="shared" si="3"/>
        <v>0.0031175262729207192</v>
      </c>
      <c r="F53" s="2">
        <f t="shared" si="4"/>
        <v>327.5140103752864</v>
      </c>
      <c r="G53" s="2">
        <f t="shared" si="5"/>
        <v>0.00044241459542305735</v>
      </c>
      <c r="H53" s="2">
        <f t="shared" si="6"/>
        <v>0.00044241459542305735</v>
      </c>
      <c r="I53" s="2">
        <f t="shared" si="0"/>
        <v>0.5258013368504357</v>
      </c>
      <c r="J53" s="23">
        <f t="shared" si="7"/>
        <v>301.6741714738941</v>
      </c>
    </row>
    <row r="54" spans="1:10" ht="14.25" customHeight="1">
      <c r="A54" s="20" t="s">
        <v>78</v>
      </c>
      <c r="B54" s="21">
        <v>12</v>
      </c>
      <c r="C54" s="2">
        <f t="shared" si="1"/>
        <v>0.48</v>
      </c>
      <c r="D54" s="2">
        <f t="shared" si="2"/>
        <v>52.03306498604382</v>
      </c>
      <c r="E54" s="2">
        <f t="shared" si="3"/>
        <v>0.002848498470232828</v>
      </c>
      <c r="F54" s="2">
        <f t="shared" si="4"/>
        <v>392.29985371962255</v>
      </c>
      <c r="G54" s="2">
        <f t="shared" si="5"/>
        <v>0.0003693526189768184</v>
      </c>
      <c r="H54" s="2">
        <f t="shared" si="6"/>
        <v>0.0003693526189768184</v>
      </c>
      <c r="I54" s="2">
        <f t="shared" si="0"/>
        <v>0.5011030580696145</v>
      </c>
      <c r="J54" s="23">
        <f t="shared" si="7"/>
        <v>244.4261086045339</v>
      </c>
    </row>
    <row r="55" spans="1:10" ht="14.25" customHeight="1">
      <c r="A55" s="20" t="s">
        <v>79</v>
      </c>
      <c r="B55" s="21">
        <v>13</v>
      </c>
      <c r="C55" s="2">
        <f t="shared" si="1"/>
        <v>0.47</v>
      </c>
      <c r="D55" s="2">
        <f t="shared" si="2"/>
        <v>56.73823200949004</v>
      </c>
      <c r="E55" s="2">
        <f t="shared" si="3"/>
        <v>0.0026122792474302073</v>
      </c>
      <c r="F55" s="2">
        <f t="shared" si="4"/>
        <v>466.4562609489448</v>
      </c>
      <c r="G55" s="2">
        <f t="shared" si="5"/>
        <v>0.0003106335803078112</v>
      </c>
      <c r="H55" s="2">
        <f t="shared" si="6"/>
        <v>0.0003106335803078112</v>
      </c>
      <c r="I55" s="2">
        <f t="shared" si="0"/>
        <v>0.47708141763971584</v>
      </c>
      <c r="J55" s="23">
        <f t="shared" si="7"/>
        <v>198.21644243861698</v>
      </c>
    </row>
    <row r="56" spans="1:10" ht="14.25" customHeight="1">
      <c r="A56" s="20" t="s">
        <v>80</v>
      </c>
      <c r="B56" s="21">
        <v>14</v>
      </c>
      <c r="C56" s="2">
        <f t="shared" si="1"/>
        <v>0.45999999999999996</v>
      </c>
      <c r="D56" s="2">
        <f t="shared" si="2"/>
        <v>61.68723593659324</v>
      </c>
      <c r="E56" s="2">
        <f t="shared" si="3"/>
        <v>0.0024027029865079184</v>
      </c>
      <c r="F56" s="2">
        <f t="shared" si="4"/>
        <v>551.3786565723902</v>
      </c>
      <c r="G56" s="2">
        <f t="shared" si="5"/>
        <v>0.000262790328694092</v>
      </c>
      <c r="H56" s="2">
        <f t="shared" si="6"/>
        <v>0.000262790328694092</v>
      </c>
      <c r="I56" s="2">
        <f t="shared" si="0"/>
        <v>0.4537316834369231</v>
      </c>
      <c r="J56" s="23">
        <f t="shared" si="7"/>
        <v>160.76330390562129</v>
      </c>
    </row>
    <row r="57" spans="1:10" ht="14.25" customHeight="1">
      <c r="A57" s="20" t="s">
        <v>81</v>
      </c>
      <c r="B57" s="21">
        <v>15</v>
      </c>
      <c r="C57" s="2">
        <f t="shared" si="1"/>
        <v>0.44999999999999996</v>
      </c>
      <c r="D57" s="2">
        <f t="shared" si="2"/>
        <v>66.91112564411232</v>
      </c>
      <c r="E57" s="2">
        <f t="shared" si="3"/>
        <v>0.002215119004313344</v>
      </c>
      <c r="F57" s="2">
        <f t="shared" si="4"/>
        <v>648.7180786746287</v>
      </c>
      <c r="G57" s="2">
        <f t="shared" si="5"/>
        <v>0.00022335893380927334</v>
      </c>
      <c r="H57" s="2">
        <f t="shared" si="6"/>
        <v>0.00022335893380927334</v>
      </c>
      <c r="I57" s="2">
        <f t="shared" si="0"/>
        <v>0.43104905572137336</v>
      </c>
      <c r="J57" s="23">
        <f t="shared" si="7"/>
        <v>130.31799922018345</v>
      </c>
    </row>
    <row r="58" spans="1:10" ht="14.25" customHeight="1">
      <c r="A58" s="20" t="s">
        <v>82</v>
      </c>
      <c r="B58" s="21">
        <v>16</v>
      </c>
      <c r="C58" s="2">
        <f t="shared" si="1"/>
        <v>0.43999999999999995</v>
      </c>
      <c r="D58" s="2">
        <f t="shared" si="2"/>
        <v>72.44376138075125</v>
      </c>
      <c r="E58" s="2">
        <f t="shared" si="3"/>
        <v>0.0020459471345679334</v>
      </c>
      <c r="F58" s="2">
        <f t="shared" si="4"/>
        <v>760.4336240995374</v>
      </c>
      <c r="G58" s="2">
        <f t="shared" si="5"/>
        <v>0.00019054520184735938</v>
      </c>
      <c r="H58" s="2">
        <f t="shared" si="6"/>
        <v>0.00019054520184735938</v>
      </c>
      <c r="I58" s="2">
        <f t="shared" si="0"/>
        <v>0.4090286646685584</v>
      </c>
      <c r="J58" s="23">
        <f t="shared" si="7"/>
        <v>105.5207105026947</v>
      </c>
    </row>
    <row r="59" spans="1:10" ht="14.25" customHeight="1">
      <c r="A59" s="20" t="s">
        <v>83</v>
      </c>
      <c r="B59" s="21">
        <v>17</v>
      </c>
      <c r="C59" s="2">
        <f t="shared" si="1"/>
        <v>0.42999999999999994</v>
      </c>
      <c r="D59" s="2">
        <f t="shared" si="2"/>
        <v>78.32248618970702</v>
      </c>
      <c r="E59" s="2">
        <f t="shared" si="3"/>
        <v>0.00189238254842004</v>
      </c>
      <c r="F59" s="2">
        <f t="shared" si="4"/>
        <v>888.8577402755203</v>
      </c>
      <c r="G59" s="2">
        <f t="shared" si="5"/>
        <v>0.00016301481309107058</v>
      </c>
      <c r="H59" s="2">
        <f t="shared" si="6"/>
        <v>0.00016301481309107058</v>
      </c>
      <c r="I59" s="2">
        <f t="shared" si="0"/>
        <v>0.38766556775326994</v>
      </c>
      <c r="J59" s="23">
        <f t="shared" si="7"/>
        <v>85.30100286521716</v>
      </c>
    </row>
    <row r="60" spans="1:10" ht="14.25" customHeight="1">
      <c r="A60" s="20" t="s">
        <v>84</v>
      </c>
      <c r="B60" s="21">
        <v>18</v>
      </c>
      <c r="C60" s="2">
        <f t="shared" si="1"/>
        <v>0.42</v>
      </c>
      <c r="D60" s="2">
        <f t="shared" si="2"/>
        <v>84.58886229067288</v>
      </c>
      <c r="E60" s="2">
        <f t="shared" si="3"/>
        <v>0.0017521941068902884</v>
      </c>
      <c r="F60" s="2">
        <f t="shared" si="4"/>
        <v>1036.7778174514922</v>
      </c>
      <c r="G60" s="2">
        <f t="shared" si="5"/>
        <v>0.0001397570202184082</v>
      </c>
      <c r="H60" s="2">
        <f t="shared" si="6"/>
        <v>0.0001397570202184082</v>
      </c>
      <c r="I60" s="2">
        <f t="shared" si="0"/>
        <v>0.3669547469737068</v>
      </c>
      <c r="J60" s="23">
        <f t="shared" si="7"/>
        <v>68.80754407456394</v>
      </c>
    </row>
    <row r="61" spans="1:10" ht="14.25" customHeight="1">
      <c r="A61" s="20" t="s">
        <v>85</v>
      </c>
      <c r="B61" s="21">
        <v>19</v>
      </c>
      <c r="C61" s="2">
        <f t="shared" si="1"/>
        <v>0.41</v>
      </c>
      <c r="D61" s="2">
        <f t="shared" si="2"/>
        <v>91.28950483293227</v>
      </c>
      <c r="E61" s="2">
        <f t="shared" si="3"/>
        <v>0.0016235831959601438</v>
      </c>
      <c r="F61" s="2">
        <f t="shared" si="4"/>
        <v>1207.5386266962732</v>
      </c>
      <c r="G61" s="2">
        <f t="shared" si="5"/>
        <v>0.00011999365916102542</v>
      </c>
      <c r="H61" s="2">
        <f t="shared" si="6"/>
        <v>0.00011999365916102542</v>
      </c>
      <c r="I61" s="2">
        <f t="shared" si="0"/>
        <v>0.34689110590199085</v>
      </c>
      <c r="J61" s="23">
        <f t="shared" si="7"/>
        <v>55.3573984978383</v>
      </c>
    </row>
    <row r="62" spans="1:10" ht="14.25" customHeight="1">
      <c r="A62" s="20" t="s">
        <v>86</v>
      </c>
      <c r="B62" s="21">
        <v>20</v>
      </c>
      <c r="C62" s="2">
        <f t="shared" si="1"/>
        <v>0.39999999999999997</v>
      </c>
      <c r="D62" s="2">
        <f t="shared" si="2"/>
        <v>98.4770474628614</v>
      </c>
      <c r="E62" s="2">
        <f t="shared" si="3"/>
        <v>0.0015050827561637428</v>
      </c>
      <c r="F62" s="2">
        <f t="shared" si="4"/>
        <v>1405.1716115771042</v>
      </c>
      <c r="G62" s="2">
        <f t="shared" si="5"/>
        <v>0.00010311692693032646</v>
      </c>
      <c r="H62" s="2">
        <f t="shared" si="6"/>
        <v>0.00010311692693032646</v>
      </c>
      <c r="I62" s="2">
        <f t="shared" si="0"/>
        <v>0.3274694665458121</v>
      </c>
      <c r="J62" s="23">
        <f t="shared" si="7"/>
        <v>44.398755930234294</v>
      </c>
    </row>
    <row r="63" spans="1:10" ht="14.25" customHeight="1">
      <c r="A63" s="20" t="s">
        <v>87</v>
      </c>
      <c r="B63" s="21">
        <v>21</v>
      </c>
      <c r="C63" s="2">
        <f t="shared" si="1"/>
        <v>0.39</v>
      </c>
      <c r="D63" s="2">
        <f t="shared" si="2"/>
        <v>106.21127908549357</v>
      </c>
      <c r="E63" s="2">
        <f t="shared" si="3"/>
        <v>0.0013954836745254358</v>
      </c>
      <c r="F63" s="2">
        <f t="shared" si="4"/>
        <v>1634.5590219176152</v>
      </c>
      <c r="G63" s="2">
        <f t="shared" si="5"/>
        <v>8.86459139453873E-05</v>
      </c>
      <c r="H63" s="2">
        <f t="shared" si="6"/>
        <v>8.86459139453873E-05</v>
      </c>
      <c r="I63" s="2">
        <f t="shared" si="0"/>
        <v>0.30868456600415345</v>
      </c>
      <c r="J63" s="23">
        <f t="shared" si="7"/>
        <v>35.48307959432177</v>
      </c>
    </row>
    <row r="64" spans="1:10" ht="14.25" customHeight="1">
      <c r="A64" s="20" t="s">
        <v>88</v>
      </c>
      <c r="B64" s="21">
        <v>22</v>
      </c>
      <c r="C64" s="2">
        <f t="shared" si="1"/>
        <v>0.38</v>
      </c>
      <c r="D64" s="2">
        <f t="shared" si="2"/>
        <v>114.56049905272853</v>
      </c>
      <c r="E64" s="2">
        <f t="shared" si="3"/>
        <v>0.0012937802055667724</v>
      </c>
      <c r="F64" s="2">
        <f t="shared" si="4"/>
        <v>1901.643585108398</v>
      </c>
      <c r="G64" s="2">
        <f t="shared" si="5"/>
        <v>7.619565492200574E-05</v>
      </c>
      <c r="H64" s="2">
        <f t="shared" si="6"/>
        <v>7.619565492200574E-05</v>
      </c>
      <c r="I64" s="2">
        <f t="shared" si="0"/>
        <v>0.29053105289805203</v>
      </c>
      <c r="J64" s="23">
        <f t="shared" si="7"/>
        <v>28.243984198535387</v>
      </c>
    </row>
    <row r="65" spans="1:10" ht="14.25" customHeight="1">
      <c r="A65" s="20" t="s">
        <v>89</v>
      </c>
      <c r="B65" s="21">
        <v>23</v>
      </c>
      <c r="C65" s="2">
        <f t="shared" si="1"/>
        <v>0.37</v>
      </c>
      <c r="D65" s="2">
        <f t="shared" si="2"/>
        <v>123.6031492061299</v>
      </c>
      <c r="E65" s="2">
        <f t="shared" si="3"/>
        <v>0.0011991288811508745</v>
      </c>
      <c r="F65" s="2">
        <f t="shared" si="4"/>
        <v>2213.698144450806</v>
      </c>
      <c r="G65" s="2">
        <f t="shared" si="5"/>
        <v>6.545471375977173E-05</v>
      </c>
      <c r="H65" s="2">
        <f t="shared" si="6"/>
        <v>6.545471375977173E-05</v>
      </c>
      <c r="I65" s="2">
        <f t="shared" si="0"/>
        <v>0.27300348355504245</v>
      </c>
      <c r="J65" s="23">
        <f t="shared" si="7"/>
        <v>22.38100508515442</v>
      </c>
    </row>
    <row r="66" spans="1:10" ht="14.25" customHeight="1">
      <c r="A66" s="20" t="s">
        <v>90</v>
      </c>
      <c r="B66" s="21">
        <v>24</v>
      </c>
      <c r="C66" s="2">
        <f t="shared" si="1"/>
        <v>0.36</v>
      </c>
      <c r="D66" s="2">
        <f t="shared" si="2"/>
        <v>133.42979656142825</v>
      </c>
      <c r="E66" s="2">
        <f t="shared" si="3"/>
        <v>0.0011108171475479663</v>
      </c>
      <c r="F66" s="2">
        <f t="shared" si="4"/>
        <v>2579.674892283843</v>
      </c>
      <c r="G66" s="2">
        <f t="shared" si="5"/>
        <v>5.6168697392439575E-05</v>
      </c>
      <c r="H66" s="2">
        <f t="shared" si="6"/>
        <v>5.6168697392439575E-05</v>
      </c>
      <c r="I66" s="2">
        <f t="shared" si="0"/>
        <v>0.25609631792328447</v>
      </c>
      <c r="J66" s="23">
        <f t="shared" si="7"/>
        <v>17.64697691970443</v>
      </c>
    </row>
    <row r="67" spans="1:10" ht="14.25" customHeight="1">
      <c r="A67" s="20" t="s">
        <v>91</v>
      </c>
      <c r="B67" s="21">
        <v>25</v>
      </c>
      <c r="C67" s="2">
        <f t="shared" si="1"/>
        <v>0.35</v>
      </c>
      <c r="D67" s="2">
        <f t="shared" si="2"/>
        <v>144.14556122683277</v>
      </c>
      <c r="E67" s="2">
        <f t="shared" si="3"/>
        <v>0.0010282391268436827</v>
      </c>
      <c r="F67" s="2">
        <f t="shared" si="4"/>
        <v>3010.661132096485</v>
      </c>
      <c r="G67" s="2">
        <f t="shared" si="5"/>
        <v>4.8127959952326426E-05</v>
      </c>
      <c r="H67" s="2">
        <f t="shared" si="6"/>
        <v>4.8127959952326426E-05</v>
      </c>
      <c r="I67" s="2">
        <f t="shared" si="0"/>
        <v>0.2398039151883191</v>
      </c>
      <c r="J67" s="23">
        <f t="shared" si="7"/>
        <v>13.838113475434781</v>
      </c>
    </row>
    <row r="68" spans="1:10" ht="14.25" customHeight="1">
      <c r="A68" s="20" t="s">
        <v>92</v>
      </c>
      <c r="B68" s="21">
        <v>26</v>
      </c>
      <c r="C68" s="2">
        <f t="shared" si="1"/>
        <v>0.33999999999999997</v>
      </c>
      <c r="D68" s="2">
        <f t="shared" si="2"/>
        <v>155.87311228482105</v>
      </c>
      <c r="E68" s="2">
        <f t="shared" si="3"/>
        <v>0.0009508766703999692</v>
      </c>
      <c r="F68" s="2">
        <f t="shared" si="4"/>
        <v>3520.4788774313733</v>
      </c>
      <c r="G68" s="2">
        <f t="shared" si="5"/>
        <v>4.1158314945291094E-05</v>
      </c>
      <c r="H68" s="2">
        <f t="shared" si="6"/>
        <v>4.1158314945291094E-05</v>
      </c>
      <c r="I68" s="2">
        <f t="shared" si="0"/>
        <v>0.224120529061852</v>
      </c>
      <c r="J68" s="23">
        <f t="shared" si="7"/>
        <v>10.786134500475882</v>
      </c>
    </row>
    <row r="69" spans="1:10" ht="14.25" customHeight="1">
      <c r="A69" s="20" t="s">
        <v>93</v>
      </c>
      <c r="B69" s="21">
        <v>27</v>
      </c>
      <c r="C69" s="2">
        <f t="shared" si="1"/>
        <v>0.32999999999999996</v>
      </c>
      <c r="D69" s="2">
        <f t="shared" si="2"/>
        <v>168.75639256997817</v>
      </c>
      <c r="E69" s="2">
        <f t="shared" si="3"/>
        <v>0.0008782843941915293</v>
      </c>
      <c r="F69" s="2">
        <f t="shared" si="4"/>
        <v>4126.480481388655</v>
      </c>
      <c r="G69" s="2">
        <f t="shared" si="5"/>
        <v>3.5113937664089996E-05</v>
      </c>
      <c r="H69" s="2">
        <f t="shared" si="6"/>
        <v>3.5113937664089996E-05</v>
      </c>
      <c r="I69" s="2">
        <f t="shared" si="0"/>
        <v>0.2090403027078382</v>
      </c>
      <c r="J69" s="23">
        <f t="shared" si="7"/>
        <v>8.351962135303651</v>
      </c>
    </row>
    <row r="70" spans="1:10" ht="14.25" customHeight="1">
      <c r="A70" s="20" t="s">
        <v>94</v>
      </c>
      <c r="B70" s="21">
        <v>28</v>
      </c>
      <c r="C70" s="2">
        <f t="shared" si="1"/>
        <v>0.31999999999999995</v>
      </c>
      <c r="D70" s="2">
        <f t="shared" si="2"/>
        <v>182.96528550114854</v>
      </c>
      <c r="E70" s="2">
        <f t="shared" si="3"/>
        <v>0.000810077745667993</v>
      </c>
      <c r="F70" s="2">
        <f t="shared" si="4"/>
        <v>4850.614094591546</v>
      </c>
      <c r="G70" s="2">
        <f t="shared" si="5"/>
        <v>2.9871883347126307E-05</v>
      </c>
      <c r="H70" s="2">
        <f t="shared" si="6"/>
        <v>2.9871883347126307E-05</v>
      </c>
      <c r="I70" s="2">
        <f t="shared" si="0"/>
        <v>0.19455726326632633</v>
      </c>
      <c r="J70" s="23">
        <f t="shared" si="7"/>
        <v>6.420633671262845</v>
      </c>
    </row>
    <row r="71" spans="1:10" ht="14.25" customHeight="1">
      <c r="A71" s="20" t="s">
        <v>95</v>
      </c>
      <c r="B71" s="21">
        <v>29</v>
      </c>
      <c r="C71" s="2">
        <f t="shared" si="1"/>
        <v>0.31</v>
      </c>
      <c r="D71" s="2">
        <f t="shared" si="2"/>
        <v>198.7015091439843</v>
      </c>
      <c r="E71" s="2">
        <f t="shared" si="3"/>
        <v>0.0007459234036660985</v>
      </c>
      <c r="F71" s="2">
        <f t="shared" si="4"/>
        <v>5720.86448289868</v>
      </c>
      <c r="G71" s="2">
        <f t="shared" si="5"/>
        <v>2.5327811702008383E-05</v>
      </c>
      <c r="H71" s="2">
        <f t="shared" si="6"/>
        <v>2.5327811702008383E-05</v>
      </c>
      <c r="I71" s="2">
        <f t="shared" si="0"/>
        <v>0.18066531592985646</v>
      </c>
      <c r="J71" s="23">
        <f t="shared" si="7"/>
        <v>4.897166276287629</v>
      </c>
    </row>
    <row r="72" spans="1:10" ht="14.25" customHeight="1">
      <c r="A72" s="20" t="s">
        <v>96</v>
      </c>
      <c r="B72" s="21">
        <v>30</v>
      </c>
      <c r="C72" s="2">
        <f t="shared" si="1"/>
        <v>0.3</v>
      </c>
      <c r="D72" s="2">
        <f t="shared" si="2"/>
        <v>216.20612298535175</v>
      </c>
      <c r="E72" s="2">
        <f t="shared" si="3"/>
        <v>0.0006855314917437052</v>
      </c>
      <c r="F72" s="2">
        <f t="shared" si="4"/>
        <v>6773.221950446094</v>
      </c>
      <c r="G72" s="2">
        <f t="shared" si="5"/>
        <v>2.1392622219625058E-05</v>
      </c>
      <c r="H72" s="2">
        <f t="shared" si="6"/>
        <v>2.1392622219625058E-05</v>
      </c>
      <c r="I72" s="2">
        <f t="shared" si="0"/>
        <v>0.16735823752054227</v>
      </c>
      <c r="J72" s="23">
        <f t="shared" si="7"/>
        <v>3.703173627930866</v>
      </c>
    </row>
    <row r="73" spans="1:10" ht="14.25" customHeight="1">
      <c r="A73" s="20" t="s">
        <v>97</v>
      </c>
      <c r="B73" s="21">
        <v>31</v>
      </c>
      <c r="C73" s="2">
        <f t="shared" si="1"/>
        <v>0.29</v>
      </c>
      <c r="D73" s="2">
        <f t="shared" si="2"/>
        <v>235.76917415449512</v>
      </c>
      <c r="E73" s="2">
        <f t="shared" si="3"/>
        <v>0.0006286492139856584</v>
      </c>
      <c r="F73" s="2">
        <f t="shared" si="4"/>
        <v>8054.403332229894</v>
      </c>
      <c r="G73" s="2">
        <f t="shared" si="5"/>
        <v>1.798978427312629E-05</v>
      </c>
      <c r="H73" s="2">
        <f t="shared" si="6"/>
        <v>1.798978427312629E-05</v>
      </c>
      <c r="I73" s="2">
        <f t="shared" si="0"/>
        <v>0.15462966950805712</v>
      </c>
      <c r="J73" s="23">
        <f t="shared" si="7"/>
        <v>2.774081521101119</v>
      </c>
    </row>
    <row r="74" spans="1:10" ht="14.25" customHeight="1">
      <c r="A74" s="20" t="s">
        <v>98</v>
      </c>
      <c r="B74" s="21">
        <v>32</v>
      </c>
      <c r="C74" s="2">
        <f t="shared" si="1"/>
        <v>0.27999999999999997</v>
      </c>
      <c r="D74" s="2">
        <f t="shared" si="2"/>
        <v>257.7422111496787</v>
      </c>
      <c r="E74" s="2">
        <f t="shared" si="3"/>
        <v>0.0005750556160480735</v>
      </c>
      <c r="F74" s="2">
        <f t="shared" si="4"/>
        <v>9625.658041118928</v>
      </c>
      <c r="G74" s="2">
        <f t="shared" si="5"/>
        <v>1.5053202365655815E-05</v>
      </c>
      <c r="H74" s="2">
        <f t="shared" si="6"/>
        <v>1.5053202365655815E-05</v>
      </c>
      <c r="I74" s="2">
        <f aca="true" t="shared" si="8" ref="I74:I97">C74^(7/3)/$C$42^2</f>
        <v>0.14247311039932517</v>
      </c>
      <c r="J74" s="23">
        <f t="shared" si="7"/>
        <v>2.056824439655424</v>
      </c>
    </row>
    <row r="75" spans="1:10" ht="14.25" customHeight="1">
      <c r="A75" s="20" t="s">
        <v>99</v>
      </c>
      <c r="B75" s="21">
        <v>33</v>
      </c>
      <c r="C75" s="2">
        <f aca="true" t="shared" si="9" ref="C75:C97">$C$42-$H$14*B75</f>
        <v>0.26999999999999996</v>
      </c>
      <c r="D75" s="2">
        <f aca="true" t="shared" si="10" ref="D75:D97">1/$C$23*(((C75-$C$21)/($C$22-$C$21))^(-$C$24/($C$24-1))-1)^(1/$C$24)</f>
        <v>282.55468383169</v>
      </c>
      <c r="E75" s="2">
        <f aca="true" t="shared" si="11" ref="E75:E97">2*$J$10/($H$12*$J$13*D75)</f>
        <v>0.0005245572432363548</v>
      </c>
      <c r="F75" s="2">
        <f aca="true" t="shared" si="12" ref="F75:F97">$H$14/PI()/E75^2</f>
        <v>11568.16170528775</v>
      </c>
      <c r="G75" s="2">
        <f aca="true" t="shared" si="13" ref="G75:G97">1/D75^2</f>
        <v>1.2525497316426141E-05</v>
      </c>
      <c r="H75" s="2">
        <f aca="true" t="shared" si="14" ref="H75:H97">IF(C75&gt;$C$21,G75,0)</f>
        <v>1.2525497316426141E-05</v>
      </c>
      <c r="I75" s="2">
        <f t="shared" si="8"/>
        <v>0.13088190741943687</v>
      </c>
      <c r="J75" s="23">
        <f t="shared" si="7"/>
        <v>1.5079312280733461</v>
      </c>
    </row>
    <row r="76" spans="1:10" ht="14.25" customHeight="1">
      <c r="A76" s="20" t="s">
        <v>100</v>
      </c>
      <c r="B76" s="21">
        <v>34</v>
      </c>
      <c r="C76" s="2">
        <f t="shared" si="9"/>
        <v>0.25999999999999995</v>
      </c>
      <c r="D76" s="2">
        <f t="shared" si="10"/>
        <v>310.73567416711</v>
      </c>
      <c r="E76" s="2">
        <f t="shared" si="11"/>
        <v>0.00047698451879252935</v>
      </c>
      <c r="F76" s="2">
        <f t="shared" si="12"/>
        <v>13990.768162063167</v>
      </c>
      <c r="G76" s="2">
        <f t="shared" si="13"/>
        <v>1.0356613498068137E-05</v>
      </c>
      <c r="H76" s="2">
        <f t="shared" si="14"/>
        <v>1.0356613498068137E-05</v>
      </c>
      <c r="I76" s="2">
        <f t="shared" si="8"/>
        <v>0.11984924738970265</v>
      </c>
      <c r="J76" s="23">
        <f t="shared" si="7"/>
        <v>1.0919277660902018</v>
      </c>
    </row>
    <row r="77" spans="1:10" ht="14.25" customHeight="1">
      <c r="A77" s="20" t="s">
        <v>101</v>
      </c>
      <c r="B77" s="21">
        <v>35</v>
      </c>
      <c r="C77" s="2">
        <f t="shared" si="9"/>
        <v>0.24999999999999994</v>
      </c>
      <c r="D77" s="2">
        <f t="shared" si="10"/>
        <v>342.9430352494708</v>
      </c>
      <c r="E77" s="2">
        <f t="shared" si="11"/>
        <v>0.00043218870418655007</v>
      </c>
      <c r="F77" s="2">
        <f t="shared" si="12"/>
        <v>17041.322823572526</v>
      </c>
      <c r="G77" s="2">
        <f t="shared" si="13"/>
        <v>8.502683735040544E-06</v>
      </c>
      <c r="H77" s="2">
        <f t="shared" si="14"/>
        <v>8.502683735040544E-06</v>
      </c>
      <c r="I77" s="2">
        <f t="shared" si="8"/>
        <v>0.10936814669226322</v>
      </c>
      <c r="J77" s="23">
        <f t="shared" si="7"/>
        <v>0.7799996267291135</v>
      </c>
    </row>
    <row r="78" spans="1:10" ht="14.25" customHeight="1">
      <c r="A78" s="20" t="s">
        <v>102</v>
      </c>
      <c r="B78" s="21">
        <v>36</v>
      </c>
      <c r="C78" s="2">
        <f t="shared" si="9"/>
        <v>0.24</v>
      </c>
      <c r="D78" s="2">
        <f t="shared" si="10"/>
        <v>380.002973199267</v>
      </c>
      <c r="E78" s="2">
        <f t="shared" si="11"/>
        <v>0.0003900393324989834</v>
      </c>
      <c r="F78" s="2">
        <f t="shared" si="12"/>
        <v>20923.451095368873</v>
      </c>
      <c r="G78" s="2">
        <f t="shared" si="13"/>
        <v>6.925099388964391E-06</v>
      </c>
      <c r="H78" s="2">
        <f t="shared" si="14"/>
        <v>6.925099388964391E-06</v>
      </c>
      <c r="I78" s="2">
        <f t="shared" si="8"/>
        <v>0.09943144019052343</v>
      </c>
      <c r="J78" s="23">
        <f t="shared" si="7"/>
        <v>0.5488692950982128</v>
      </c>
    </row>
    <row r="79" spans="1:10" ht="14.25" customHeight="1">
      <c r="A79" s="20" t="s">
        <v>103</v>
      </c>
      <c r="B79" s="21">
        <v>37</v>
      </c>
      <c r="C79" s="2">
        <f t="shared" si="9"/>
        <v>0.22999999999999998</v>
      </c>
      <c r="D79" s="2">
        <f t="shared" si="10"/>
        <v>422.9645798661371</v>
      </c>
      <c r="E79" s="2">
        <f t="shared" si="11"/>
        <v>0.0003504220283910763</v>
      </c>
      <c r="F79" s="2">
        <f t="shared" si="12"/>
        <v>25921.92972839186</v>
      </c>
      <c r="G79" s="2">
        <f t="shared" si="13"/>
        <v>5.589745050379565E-06</v>
      </c>
      <c r="H79" s="2">
        <f t="shared" si="14"/>
        <v>5.589745050379565E-06</v>
      </c>
      <c r="I79" s="2">
        <f t="shared" si="8"/>
        <v>0.09003176894988424</v>
      </c>
      <c r="J79" s="23">
        <f t="shared" si="7"/>
        <v>0.3798515142858826</v>
      </c>
    </row>
    <row r="80" spans="1:10" ht="14.25" customHeight="1">
      <c r="A80" s="20" t="s">
        <v>104</v>
      </c>
      <c r="B80" s="21">
        <v>38</v>
      </c>
      <c r="C80" s="2">
        <f t="shared" si="9"/>
        <v>0.21999999999999997</v>
      </c>
      <c r="D80" s="2">
        <f t="shared" si="10"/>
        <v>473.17613750830344</v>
      </c>
      <c r="E80" s="2">
        <f t="shared" si="11"/>
        <v>0.0003132366454377049</v>
      </c>
      <c r="F80" s="2">
        <f t="shared" si="12"/>
        <v>32441.80419073401</v>
      </c>
      <c r="G80" s="2">
        <f t="shared" si="13"/>
        <v>4.466366221301301E-06</v>
      </c>
      <c r="H80" s="2">
        <f t="shared" si="14"/>
        <v>4.466366221301301E-06</v>
      </c>
      <c r="I80" s="2">
        <f t="shared" si="8"/>
        <v>0.08116156657250215</v>
      </c>
      <c r="J80" s="23">
        <f t="shared" si="7"/>
        <v>0.25805734220178095</v>
      </c>
    </row>
    <row r="81" spans="1:10" ht="14.25" customHeight="1">
      <c r="A81" s="20" t="s">
        <v>105</v>
      </c>
      <c r="B81" s="21">
        <v>39</v>
      </c>
      <c r="C81" s="2">
        <f t="shared" si="9"/>
        <v>0.20999999999999996</v>
      </c>
      <c r="D81" s="2">
        <f t="shared" si="10"/>
        <v>532.3937281919752</v>
      </c>
      <c r="E81" s="2">
        <f t="shared" si="11"/>
        <v>0.00027839566502336046</v>
      </c>
      <c r="F81" s="2">
        <f t="shared" si="12"/>
        <v>41070.04610257705</v>
      </c>
      <c r="G81" s="2">
        <f t="shared" si="13"/>
        <v>3.528045184893848E-06</v>
      </c>
      <c r="H81" s="2">
        <f t="shared" si="14"/>
        <v>3.528045184893848E-06</v>
      </c>
      <c r="I81" s="2">
        <f t="shared" si="8"/>
        <v>0.07281304392134831</v>
      </c>
      <c r="J81" s="23">
        <f t="shared" si="7"/>
        <v>0.1717230178996788</v>
      </c>
    </row>
    <row r="82" spans="1:10" ht="14.25" customHeight="1">
      <c r="A82" s="20" t="s">
        <v>106</v>
      </c>
      <c r="B82" s="21">
        <v>40</v>
      </c>
      <c r="C82" s="2">
        <f t="shared" si="9"/>
        <v>0.19999999999999996</v>
      </c>
      <c r="D82" s="2">
        <f t="shared" si="10"/>
        <v>602.9387797929954</v>
      </c>
      <c r="E82" s="2">
        <f t="shared" si="11"/>
        <v>0.00024582281150527024</v>
      </c>
      <c r="F82" s="2">
        <f t="shared" si="12"/>
        <v>52675.147989142366</v>
      </c>
      <c r="G82" s="2">
        <f t="shared" si="13"/>
        <v>2.750765473415132E-06</v>
      </c>
      <c r="H82" s="2">
        <f t="shared" si="14"/>
        <v>2.750765473415132E-06</v>
      </c>
      <c r="I82" s="2">
        <f t="shared" si="8"/>
        <v>0.06497817196028588</v>
      </c>
      <c r="J82" s="23">
        <f t="shared" si="7"/>
        <v>0.11164409586244703</v>
      </c>
    </row>
    <row r="83" spans="1:10" ht="14.25" customHeight="1">
      <c r="A83" s="20" t="s">
        <v>107</v>
      </c>
      <c r="B83" s="21">
        <v>41</v>
      </c>
      <c r="C83" s="2">
        <f t="shared" si="9"/>
        <v>0.18999999999999995</v>
      </c>
      <c r="D83" s="2">
        <f t="shared" si="10"/>
        <v>687.9314721042522</v>
      </c>
      <c r="E83" s="2">
        <f t="shared" si="11"/>
        <v>0.00021545184662202782</v>
      </c>
      <c r="F83" s="2">
        <f t="shared" si="12"/>
        <v>68572.45305071637</v>
      </c>
      <c r="G83" s="2">
        <f t="shared" si="13"/>
        <v>2.113049365295407E-06</v>
      </c>
      <c r="H83" s="2">
        <f t="shared" si="14"/>
        <v>2.113049365295407E-06</v>
      </c>
      <c r="I83" s="2">
        <f t="shared" si="8"/>
        <v>0.057648662374974506</v>
      </c>
      <c r="J83" s="23">
        <f t="shared" si="7"/>
        <v>0.07069877264745075</v>
      </c>
    </row>
    <row r="84" spans="1:10" ht="14.25" customHeight="1">
      <c r="A84" s="20" t="s">
        <v>108</v>
      </c>
      <c r="B84" s="21">
        <v>42</v>
      </c>
      <c r="C84" s="2">
        <f t="shared" si="9"/>
        <v>0.18</v>
      </c>
      <c r="D84" s="2">
        <f t="shared" si="10"/>
        <v>791.6448131856114</v>
      </c>
      <c r="E84" s="2">
        <f t="shared" si="11"/>
        <v>0.000187225512686483</v>
      </c>
      <c r="F84" s="2">
        <f t="shared" si="12"/>
        <v>90807.1551902469</v>
      </c>
      <c r="G84" s="2">
        <f t="shared" si="13"/>
        <v>1.5956559600617018E-06</v>
      </c>
      <c r="H84" s="2">
        <f t="shared" si="14"/>
        <v>1.5956559600617018E-06</v>
      </c>
      <c r="I84" s="2">
        <f t="shared" si="8"/>
        <v>0.05081594555957551</v>
      </c>
      <c r="J84" s="23">
        <f t="shared" si="7"/>
        <v>0.04344709902354929</v>
      </c>
    </row>
    <row r="85" spans="1:10" ht="14.25" customHeight="1">
      <c r="A85" s="20" t="s">
        <v>109</v>
      </c>
      <c r="B85" s="21">
        <v>43</v>
      </c>
      <c r="C85" s="2">
        <f t="shared" si="9"/>
        <v>0.16999999999999998</v>
      </c>
      <c r="D85" s="2">
        <f t="shared" si="10"/>
        <v>920.056331030565</v>
      </c>
      <c r="E85" s="2">
        <f t="shared" si="11"/>
        <v>0.0001610945993363827</v>
      </c>
      <c r="F85" s="2">
        <f t="shared" si="12"/>
        <v>122655.82141464998</v>
      </c>
      <c r="G85" s="2">
        <f t="shared" si="13"/>
        <v>1.1813298115360294E-06</v>
      </c>
      <c r="H85" s="2">
        <f t="shared" si="14"/>
        <v>1.1813298115360294E-06</v>
      </c>
      <c r="I85" s="2">
        <f t="shared" si="8"/>
        <v>0.04447114545005665</v>
      </c>
      <c r="J85" s="23">
        <f t="shared" si="7"/>
        <v>0.02579499203642697</v>
      </c>
    </row>
    <row r="86" spans="1:10" ht="14.25" customHeight="1">
      <c r="A86" s="20" t="s">
        <v>110</v>
      </c>
      <c r="B86" s="21">
        <v>44</v>
      </c>
      <c r="C86" s="2">
        <f t="shared" si="9"/>
        <v>0.15999999999999998</v>
      </c>
      <c r="D86" s="2">
        <f t="shared" si="10"/>
        <v>1081.7342663540032</v>
      </c>
      <c r="E86" s="2">
        <f t="shared" si="11"/>
        <v>0.00013701711281998593</v>
      </c>
      <c r="F86" s="2">
        <f t="shared" si="12"/>
        <v>169551.05770586527</v>
      </c>
      <c r="G86" s="2">
        <f t="shared" si="13"/>
        <v>8.545920052408667E-07</v>
      </c>
      <c r="H86" s="2">
        <f t="shared" si="14"/>
        <v>8.545920052408667E-07</v>
      </c>
      <c r="I86" s="2">
        <f t="shared" si="8"/>
        <v>0.038605050547127547</v>
      </c>
      <c r="J86" s="23">
        <f t="shared" si="7"/>
        <v>0.014713750106867707</v>
      </c>
    </row>
    <row r="87" spans="1:10" ht="14.25" customHeight="1">
      <c r="A87" s="20" t="s">
        <v>111</v>
      </c>
      <c r="B87" s="21">
        <v>45</v>
      </c>
      <c r="C87" s="2">
        <f t="shared" si="9"/>
        <v>0.14999999999999997</v>
      </c>
      <c r="D87" s="2">
        <f t="shared" si="10"/>
        <v>1289.311850790354</v>
      </c>
      <c r="E87" s="2">
        <f t="shared" si="11"/>
        <v>0.0001149575301921052</v>
      </c>
      <c r="F87" s="2">
        <f t="shared" si="12"/>
        <v>240865.87665172745</v>
      </c>
      <c r="G87" s="2">
        <f t="shared" si="13"/>
        <v>6.015670646659288E-07</v>
      </c>
      <c r="H87" s="2">
        <f t="shared" si="14"/>
        <v>6.015670646659288E-07</v>
      </c>
      <c r="I87" s="2">
        <f t="shared" si="8"/>
        <v>0.03320808028695658</v>
      </c>
      <c r="J87" s="23">
        <f t="shared" si="7"/>
        <v>0.0080072189404121</v>
      </c>
    </row>
    <row r="88" spans="1:10" ht="14.25" customHeight="1">
      <c r="A88" s="20" t="s">
        <v>112</v>
      </c>
      <c r="B88" s="21">
        <v>46</v>
      </c>
      <c r="C88" s="2">
        <f t="shared" si="9"/>
        <v>0.13999999999999996</v>
      </c>
      <c r="D88" s="2">
        <f t="shared" si="10"/>
        <v>1562.0419556538966</v>
      </c>
      <c r="E88" s="2">
        <f t="shared" si="11"/>
        <v>9.488612356268335E-05</v>
      </c>
      <c r="F88" s="2">
        <f t="shared" si="12"/>
        <v>353545.0151807242</v>
      </c>
      <c r="G88" s="2">
        <f t="shared" si="13"/>
        <v>4.0984025279354386E-07</v>
      </c>
      <c r="H88" s="2">
        <f t="shared" si="14"/>
        <v>4.0984025279354386E-07</v>
      </c>
      <c r="I88" s="2">
        <f t="shared" si="8"/>
        <v>0.02827024566563378</v>
      </c>
      <c r="J88" s="23">
        <f t="shared" si="7"/>
        <v>0.00411992568279434</v>
      </c>
    </row>
    <row r="89" spans="1:10" ht="14.25" customHeight="1">
      <c r="A89" s="20" t="s">
        <v>113</v>
      </c>
      <c r="B89" s="21">
        <v>47</v>
      </c>
      <c r="C89" s="2">
        <f t="shared" si="9"/>
        <v>0.12999999999999995</v>
      </c>
      <c r="D89" s="2">
        <f t="shared" si="10"/>
        <v>1930.4416130826678</v>
      </c>
      <c r="E89" s="2">
        <f t="shared" si="11"/>
        <v>7.677834181039489E-05</v>
      </c>
      <c r="F89" s="2">
        <f t="shared" si="12"/>
        <v>539973.7783127688</v>
      </c>
      <c r="G89" s="2">
        <f t="shared" si="13"/>
        <v>2.6834076804306735E-07</v>
      </c>
      <c r="H89" s="2">
        <f t="shared" si="14"/>
        <v>2.6834076804306735E-07</v>
      </c>
      <c r="I89" s="2">
        <f t="shared" si="8"/>
        <v>0.02378110267300134</v>
      </c>
      <c r="J89" s="23">
        <f t="shared" si="7"/>
        <v>0.0019804475024020702</v>
      </c>
    </row>
    <row r="90" spans="1:10" ht="14.25" customHeight="1">
      <c r="A90" s="20" t="s">
        <v>114</v>
      </c>
      <c r="B90" s="21">
        <v>48</v>
      </c>
      <c r="C90" s="2">
        <f t="shared" si="9"/>
        <v>0.12</v>
      </c>
      <c r="D90" s="2">
        <f t="shared" si="10"/>
        <v>2445.2357783840894</v>
      </c>
      <c r="E90" s="2">
        <f t="shared" si="11"/>
        <v>6.061423905396083E-05</v>
      </c>
      <c r="F90" s="2">
        <f t="shared" si="12"/>
        <v>866364.8272120126</v>
      </c>
      <c r="G90" s="2">
        <f t="shared" si="13"/>
        <v>1.6724706941514236E-07</v>
      </c>
      <c r="H90" s="2">
        <f t="shared" si="14"/>
        <v>1.6724706941514236E-07</v>
      </c>
      <c r="I90" s="2">
        <f t="shared" si="8"/>
        <v>0.019729696594643752</v>
      </c>
      <c r="J90" s="23">
        <f t="shared" si="7"/>
        <v>0.0008750514475532904</v>
      </c>
    </row>
    <row r="91" spans="1:10" ht="14.25" customHeight="1">
      <c r="A91" s="20" t="s">
        <v>115</v>
      </c>
      <c r="B91" s="21">
        <v>49</v>
      </c>
      <c r="C91" s="2">
        <f t="shared" si="9"/>
        <v>0.10999999999999999</v>
      </c>
      <c r="D91" s="2">
        <f t="shared" si="10"/>
        <v>3195.83197581781</v>
      </c>
      <c r="E91" s="2">
        <f t="shared" si="11"/>
        <v>4.6377940747758746E-05</v>
      </c>
      <c r="F91" s="2">
        <f t="shared" si="12"/>
        <v>1479882.397679338</v>
      </c>
      <c r="G91" s="2">
        <f t="shared" si="13"/>
        <v>9.791114390088295E-08</v>
      </c>
      <c r="H91" s="2">
        <f t="shared" si="14"/>
        <v>9.791114390088295E-08</v>
      </c>
      <c r="I91" s="2">
        <f t="shared" si="8"/>
        <v>0.016104494519572115</v>
      </c>
      <c r="J91" s="23">
        <f t="shared" si="7"/>
        <v>0.0003472692677006626</v>
      </c>
    </row>
    <row r="92" spans="1:10" ht="14.25" customHeight="1">
      <c r="A92" s="20" t="s">
        <v>116</v>
      </c>
      <c r="B92" s="21">
        <v>50</v>
      </c>
      <c r="C92" s="2">
        <f t="shared" si="9"/>
        <v>0.09999999999999998</v>
      </c>
      <c r="D92" s="2">
        <f t="shared" si="10"/>
        <v>4351.983394466806</v>
      </c>
      <c r="E92" s="2">
        <f t="shared" si="11"/>
        <v>3.405713960276501E-05</v>
      </c>
      <c r="F92" s="2">
        <f t="shared" si="12"/>
        <v>2744313.9181208843</v>
      </c>
      <c r="G92" s="2">
        <f t="shared" si="13"/>
        <v>5.279898099076825E-08</v>
      </c>
      <c r="H92" s="2">
        <f t="shared" si="14"/>
        <v>5.279898099076825E-08</v>
      </c>
      <c r="I92" s="2">
        <f t="shared" si="8"/>
        <v>0.012893302315591045</v>
      </c>
      <c r="J92" s="23">
        <f t="shared" si="7"/>
        <v>0.00011958164759746902</v>
      </c>
    </row>
    <row r="93" spans="1:10" ht="14.25" customHeight="1">
      <c r="A93" s="20" t="s">
        <v>117</v>
      </c>
      <c r="B93" s="21">
        <v>51</v>
      </c>
      <c r="C93" s="2">
        <f t="shared" si="9"/>
        <v>0.08999999999999997</v>
      </c>
      <c r="D93" s="2">
        <f t="shared" si="10"/>
        <v>6269.023456346479</v>
      </c>
      <c r="E93" s="2">
        <f t="shared" si="11"/>
        <v>2.3642614682550565E-05</v>
      </c>
      <c r="F93" s="2">
        <f t="shared" si="12"/>
        <v>5694546.172408896</v>
      </c>
      <c r="G93" s="2">
        <f t="shared" si="13"/>
        <v>2.544486847742448E-08</v>
      </c>
      <c r="H93" s="2">
        <f t="shared" si="14"/>
        <v>2.544486847742448E-08</v>
      </c>
      <c r="I93" s="2">
        <f t="shared" si="8"/>
        <v>0.010083160679753607</v>
      </c>
      <c r="J93" s="23">
        <f t="shared" si="7"/>
        <v>3.3803806550457865E-05</v>
      </c>
    </row>
    <row r="94" spans="1:10" ht="14.25" customHeight="1">
      <c r="A94" s="20" t="s">
        <v>118</v>
      </c>
      <c r="B94" s="21">
        <v>52</v>
      </c>
      <c r="C94" s="2">
        <f t="shared" si="9"/>
        <v>0.07999999999999996</v>
      </c>
      <c r="D94" s="2">
        <f t="shared" si="10"/>
        <v>9797.618902979966</v>
      </c>
      <c r="E94" s="2">
        <f t="shared" si="11"/>
        <v>1.512776803037225E-05</v>
      </c>
      <c r="F94" s="2">
        <f t="shared" si="12"/>
        <v>13909144.356857331</v>
      </c>
      <c r="G94" s="2">
        <f t="shared" si="13"/>
        <v>1.0417389788907453E-08</v>
      </c>
      <c r="H94" s="2">
        <f t="shared" si="14"/>
        <v>1.0417389788907453E-08</v>
      </c>
      <c r="I94" s="2">
        <f t="shared" si="8"/>
        <v>0.007660212231224458</v>
      </c>
      <c r="J94" s="23">
        <f t="shared" si="7"/>
        <v>7.10781724610269E-06</v>
      </c>
    </row>
    <row r="95" spans="1:10" ht="14.25" customHeight="1">
      <c r="A95" s="20" t="s">
        <v>119</v>
      </c>
      <c r="B95" s="21">
        <v>53</v>
      </c>
      <c r="C95" s="2">
        <f t="shared" si="9"/>
        <v>0.06999999999999995</v>
      </c>
      <c r="D95" s="2">
        <f t="shared" si="10"/>
        <v>17420.43646217612</v>
      </c>
      <c r="E95" s="2">
        <f t="shared" si="11"/>
        <v>8.508174082554321E-06</v>
      </c>
      <c r="F95" s="2">
        <f t="shared" si="12"/>
        <v>43972118.815438345</v>
      </c>
      <c r="G95" s="2">
        <f t="shared" si="13"/>
        <v>3.2952011933683048E-09</v>
      </c>
      <c r="H95" s="2">
        <f t="shared" si="14"/>
        <v>3.2952011933683048E-09</v>
      </c>
      <c r="I95" s="2">
        <f t="shared" si="8"/>
        <v>0.005609527213628302</v>
      </c>
      <c r="J95" s="23">
        <f t="shared" si="7"/>
        <v>9.028001995872899E-07</v>
      </c>
    </row>
    <row r="96" spans="1:10" ht="14.25" customHeight="1">
      <c r="A96" s="20" t="s">
        <v>120</v>
      </c>
      <c r="B96" s="21">
        <v>54</v>
      </c>
      <c r="C96" s="2">
        <f t="shared" si="9"/>
        <v>0.05999999999999994</v>
      </c>
      <c r="D96" s="2">
        <f t="shared" si="10"/>
        <v>39198.80951477106</v>
      </c>
      <c r="E96" s="2">
        <f t="shared" si="11"/>
        <v>3.7811379439577044E-06</v>
      </c>
      <c r="F96" s="2">
        <f t="shared" si="12"/>
        <v>222640969.26645768</v>
      </c>
      <c r="G96" s="2">
        <f t="shared" si="13"/>
        <v>6.50810041264921E-10</v>
      </c>
      <c r="H96" s="2">
        <f t="shared" si="14"/>
        <v>6.50810041264921E-10</v>
      </c>
      <c r="I96" s="2">
        <f t="shared" si="8"/>
        <v>0.003914867641168855</v>
      </c>
      <c r="J96" s="23">
        <f t="shared" si="7"/>
        <v>3.706054701485836E-08</v>
      </c>
    </row>
    <row r="97" spans="1:10" ht="14.25" customHeight="1">
      <c r="A97" s="20" t="s">
        <v>121</v>
      </c>
      <c r="B97" s="21">
        <v>55</v>
      </c>
      <c r="C97" s="2">
        <f t="shared" si="9"/>
        <v>0.04999999999999993</v>
      </c>
      <c r="D97" s="2">
        <f t="shared" si="10"/>
        <v>156799.40476134184</v>
      </c>
      <c r="E97" s="2">
        <f t="shared" si="11"/>
        <v>9.452593665126792E-07</v>
      </c>
      <c r="F97" s="2">
        <f t="shared" si="12"/>
        <v>3562444838.6979756</v>
      </c>
      <c r="G97" s="2">
        <f t="shared" si="13"/>
        <v>4.0673465823690664E-11</v>
      </c>
      <c r="H97" s="2">
        <f t="shared" si="14"/>
        <v>4.0673465823690664E-11</v>
      </c>
      <c r="I97" s="2">
        <f t="shared" si="8"/>
        <v>0.0025583552073891497</v>
      </c>
      <c r="J97" s="23"/>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row r="516" spans="10:11" ht="14.25" customHeight="1">
      <c r="J516" s="20"/>
      <c r="K516" s="21"/>
    </row>
    <row r="517" spans="10:11" ht="14.25" customHeight="1">
      <c r="J517" s="20"/>
      <c r="K517" s="21"/>
    </row>
    <row r="518" spans="10:11" ht="14.25" customHeight="1">
      <c r="J518" s="20"/>
      <c r="K518" s="21"/>
    </row>
    <row r="519" spans="10:11" ht="14.25" customHeight="1">
      <c r="J519" s="20"/>
      <c r="K519" s="21"/>
    </row>
  </sheetData>
  <conditionalFormatting sqref="E7">
    <cfRule type="cellIs" priority="1" dxfId="0" operator="greaterThanOrEqual" stopIfTrue="1">
      <formula>$E$8</formula>
    </cfRule>
  </conditionalFormatting>
  <printOptions/>
  <pageMargins left="0.75" right="0.75" top="1" bottom="1"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0"/>
  <dimension ref="A1:U514"/>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122</v>
      </c>
    </row>
    <row r="2" spans="1:17" ht="14.25" customHeight="1">
      <c r="A2" s="24" t="s">
        <v>171</v>
      </c>
      <c r="B2" s="3"/>
      <c r="D2" s="3"/>
      <c r="K2" s="6"/>
      <c r="L2" s="6"/>
      <c r="M2" s="6"/>
      <c r="N2" s="6"/>
      <c r="O2" s="6"/>
      <c r="P2" s="6"/>
      <c r="Q2" s="6"/>
    </row>
    <row r="3" spans="2:17" ht="14.25" customHeight="1">
      <c r="B3" s="3"/>
      <c r="D3" s="3"/>
      <c r="K3" s="6"/>
      <c r="L3" s="6"/>
      <c r="M3" s="6"/>
      <c r="N3" s="6"/>
      <c r="O3" s="6"/>
      <c r="P3" s="6"/>
      <c r="Q3"/>
    </row>
    <row r="4" spans="1:17" ht="14.25" customHeight="1">
      <c r="A4" s="24"/>
      <c r="B4" s="3"/>
      <c r="D4" s="3"/>
      <c r="K4" s="6"/>
      <c r="L4" s="6"/>
      <c r="M4" s="6"/>
      <c r="N4" s="6"/>
      <c r="O4" s="6"/>
      <c r="P4" s="6"/>
      <c r="Q4" s="6"/>
    </row>
    <row r="5" spans="2:17" ht="14.25" customHeight="1">
      <c r="B5" s="3"/>
      <c r="D5" s="3"/>
      <c r="K5" s="6"/>
      <c r="L5" s="18"/>
      <c r="M5" s="6"/>
      <c r="N5" s="6"/>
      <c r="O5" s="6"/>
      <c r="P5" s="6"/>
      <c r="Q5" s="6"/>
    </row>
    <row r="6" spans="2:17" ht="14.25" customHeight="1">
      <c r="B6" s="3"/>
      <c r="D6" s="3"/>
      <c r="O6" s="6"/>
      <c r="P6" s="6"/>
      <c r="Q6" s="6"/>
    </row>
    <row r="7" spans="4:17" ht="14.25" customHeight="1">
      <c r="D7" s="6"/>
      <c r="H7" s="27" t="s">
        <v>127</v>
      </c>
      <c r="I7" s="25">
        <v>0.0727</v>
      </c>
      <c r="J7" s="26" t="s">
        <v>128</v>
      </c>
      <c r="K7" s="25">
        <f>I7*1000</f>
        <v>72.7</v>
      </c>
      <c r="L7" s="26" t="s">
        <v>129</v>
      </c>
      <c r="O7" s="6"/>
      <c r="P7" s="6"/>
      <c r="Q7" s="6"/>
    </row>
    <row r="8" spans="4:17" ht="14.25" customHeight="1">
      <c r="D8" s="6"/>
      <c r="H8" s="27" t="s">
        <v>130</v>
      </c>
      <c r="I8" s="25">
        <v>0.001</v>
      </c>
      <c r="J8" s="26" t="s">
        <v>131</v>
      </c>
      <c r="K8" s="25">
        <f>I8*1000/100</f>
        <v>0.01</v>
      </c>
      <c r="L8" s="26" t="s">
        <v>132</v>
      </c>
      <c r="O8" s="6"/>
      <c r="P8" s="6"/>
      <c r="Q8" s="6"/>
    </row>
    <row r="9" spans="4:17" ht="14.25" customHeight="1">
      <c r="D9" s="6"/>
      <c r="H9" s="28" t="s">
        <v>133</v>
      </c>
      <c r="I9" s="29">
        <v>1</v>
      </c>
      <c r="J9" s="30" t="s">
        <v>134</v>
      </c>
      <c r="K9" s="6"/>
      <c r="L9" s="6"/>
      <c r="O9" s="6"/>
      <c r="P9" s="6"/>
      <c r="Q9" s="6"/>
    </row>
    <row r="10" spans="4:17" ht="14.25" customHeight="1">
      <c r="D10" s="6"/>
      <c r="H10" s="31" t="s">
        <v>135</v>
      </c>
      <c r="I10" s="32">
        <v>9.81</v>
      </c>
      <c r="J10" s="26" t="s">
        <v>136</v>
      </c>
      <c r="K10" s="25">
        <f>I10*100</f>
        <v>981</v>
      </c>
      <c r="L10" s="26" t="s">
        <v>137</v>
      </c>
      <c r="O10" s="6"/>
      <c r="P10" s="6"/>
      <c r="Q10" s="6"/>
    </row>
    <row r="11" spans="4:17" ht="14.25" customHeight="1">
      <c r="D11" s="3"/>
      <c r="H11" s="27" t="s">
        <v>138</v>
      </c>
      <c r="I11" s="33">
        <v>0.01</v>
      </c>
      <c r="J11" s="17"/>
      <c r="K11" s="6"/>
      <c r="L11" s="6"/>
      <c r="O11" s="6"/>
      <c r="P11" s="6"/>
      <c r="Q11" s="6"/>
    </row>
    <row r="12" spans="4:17" ht="14.25" customHeight="1">
      <c r="D12" s="3"/>
      <c r="O12" s="6"/>
      <c r="P12" s="6"/>
      <c r="Q12" s="6"/>
    </row>
    <row r="13" spans="2:11" ht="14.25" customHeight="1">
      <c r="B13" s="3"/>
      <c r="D13" s="3"/>
      <c r="K13" s="3"/>
    </row>
    <row r="14" spans="11:21" ht="14.25" customHeight="1">
      <c r="K14" s="22" t="s">
        <v>141</v>
      </c>
      <c r="L14" s="20" t="s">
        <v>140</v>
      </c>
      <c r="M14" s="22" t="s">
        <v>142</v>
      </c>
      <c r="N14" s="22" t="s">
        <v>143</v>
      </c>
      <c r="O14" s="22" t="s">
        <v>144</v>
      </c>
      <c r="P14" s="22" t="s">
        <v>145</v>
      </c>
      <c r="Q14" s="22" t="s">
        <v>145</v>
      </c>
      <c r="R14" s="22" t="s">
        <v>149</v>
      </c>
      <c r="S14" s="17" t="s">
        <v>139</v>
      </c>
      <c r="T14" s="22" t="s">
        <v>150</v>
      </c>
      <c r="U14" s="20" t="s">
        <v>146</v>
      </c>
    </row>
    <row r="15" spans="2:21" ht="14.25" customHeight="1">
      <c r="B15" s="4" t="s">
        <v>123</v>
      </c>
      <c r="C15" s="5">
        <v>0.04</v>
      </c>
      <c r="J15" s="20" t="s">
        <v>124</v>
      </c>
      <c r="K15" s="21">
        <v>0</v>
      </c>
      <c r="L15" s="2">
        <f>$C$16</f>
        <v>0.6</v>
      </c>
      <c r="M15" s="2">
        <f>IF(L15&lt;$C$15,"",1/$C$17*(((L15-$C$15)/($C$16-$C$15))^(-$C$18/($C$18-1))-1)^(1/$C$18))</f>
        <v>0</v>
      </c>
      <c r="R15" s="23">
        <f aca="true" t="shared" si="0" ref="R15:R46">$K$7^2*$I$11/(2*$K$8*$I$9*$K$10)*SUM(Q16:Q346)*60*60*24</f>
        <v>9676.592077287312</v>
      </c>
      <c r="S15" s="2">
        <f aca="true" t="shared" si="1" ref="S15:S46">(L15-$C$15)/($C$16-$C$15)</f>
        <v>1</v>
      </c>
      <c r="T15" s="19">
        <f aca="true" t="shared" si="2" ref="T15:T46">$C$20*$S15^$C$19*(1-(1-$S15^((1-1/$C$18)^(-1)))^(1-1/$C$18))^2</f>
        <v>790</v>
      </c>
      <c r="U15" s="2">
        <f>T15/R15</f>
        <v>0.08164031238376483</v>
      </c>
    </row>
    <row r="16" spans="2:21" ht="14.25" customHeight="1">
      <c r="B16" s="7" t="s">
        <v>124</v>
      </c>
      <c r="C16" s="8">
        <v>0.6</v>
      </c>
      <c r="J16" s="20" t="s">
        <v>147</v>
      </c>
      <c r="K16" s="21">
        <v>1</v>
      </c>
      <c r="L16" s="2">
        <f aca="true" t="shared" si="3" ref="L16:L47">$L$15-$I$11*K16</f>
        <v>0.59</v>
      </c>
      <c r="M16" s="2">
        <f aca="true" t="shared" si="4" ref="M16:M47">1/$C$17*(((L16-$C$15)/($C$16-$C$15))^(-$C$18/($C$18-1))-1)^(1/$C$18)</f>
        <v>7.278757861437879</v>
      </c>
      <c r="N16" s="2">
        <f aca="true" t="shared" si="5" ref="N16:N47">2*$K$7/($I$9*$K$10*M16)</f>
        <v>0.020362829597547826</v>
      </c>
      <c r="O16" s="2">
        <f aca="true" t="shared" si="6" ref="O16:O47">$I$11/PI()/N16^2</f>
        <v>7.6766877036310035</v>
      </c>
      <c r="P16" s="2">
        <f aca="true" t="shared" si="7" ref="P16:P47">1/M16^2</f>
        <v>0.01887493460584965</v>
      </c>
      <c r="Q16" s="2">
        <f aca="true" t="shared" si="8" ref="Q16:Q47">IF(L16&gt;$C$15,P16,0)</f>
        <v>0.01887493460584965</v>
      </c>
      <c r="R16" s="23">
        <f t="shared" si="0"/>
        <v>5283.513040680289</v>
      </c>
      <c r="S16" s="2">
        <f t="shared" si="1"/>
        <v>0.9821428571428571</v>
      </c>
      <c r="T16" s="19">
        <f t="shared" si="2"/>
        <v>306.0904687116108</v>
      </c>
      <c r="U16" s="2">
        <f>T16/R16</f>
        <v>0.057933133949868994</v>
      </c>
    </row>
    <row r="17" spans="2:21" ht="14.25" customHeight="1">
      <c r="B17" s="9" t="s">
        <v>125</v>
      </c>
      <c r="C17" s="10">
        <v>0.02</v>
      </c>
      <c r="J17" s="20" t="s">
        <v>148</v>
      </c>
      <c r="K17" s="21">
        <v>2</v>
      </c>
      <c r="L17" s="2">
        <f t="shared" si="3"/>
        <v>0.58</v>
      </c>
      <c r="M17" s="2">
        <f t="shared" si="4"/>
        <v>11.84310209736429</v>
      </c>
      <c r="N17" s="2">
        <f t="shared" si="5"/>
        <v>0.012514973255804068</v>
      </c>
      <c r="O17" s="2">
        <f t="shared" si="6"/>
        <v>20.323115042697616</v>
      </c>
      <c r="P17" s="2">
        <f t="shared" si="7"/>
        <v>0.007129663838006413</v>
      </c>
      <c r="Q17" s="2">
        <f t="shared" si="8"/>
        <v>0.007129663838006413</v>
      </c>
      <c r="R17" s="23">
        <f t="shared" si="0"/>
        <v>3624.107199078372</v>
      </c>
      <c r="S17" s="2">
        <f t="shared" si="1"/>
        <v>0.9642857142857143</v>
      </c>
      <c r="T17" s="19">
        <f t="shared" si="2"/>
        <v>218.48568158668363</v>
      </c>
      <c r="U17" s="2">
        <f aca="true" t="shared" si="9" ref="U17:U69">T17/R17</f>
        <v>0.06028676018254802</v>
      </c>
    </row>
    <row r="18" spans="2:21" ht="14.25" customHeight="1">
      <c r="B18" s="11" t="s">
        <v>0</v>
      </c>
      <c r="C18" s="12">
        <v>1.5</v>
      </c>
      <c r="I18" s="3"/>
      <c r="J18" s="20" t="s">
        <v>40</v>
      </c>
      <c r="K18" s="21">
        <v>3</v>
      </c>
      <c r="L18" s="2">
        <f t="shared" si="3"/>
        <v>0.57</v>
      </c>
      <c r="M18" s="2">
        <f t="shared" si="4"/>
        <v>15.916529284108272</v>
      </c>
      <c r="N18" s="2">
        <f t="shared" si="5"/>
        <v>0.009312087036603911</v>
      </c>
      <c r="O18" s="2">
        <f t="shared" si="6"/>
        <v>36.7076070741845</v>
      </c>
      <c r="P18" s="2">
        <f t="shared" si="7"/>
        <v>0.003947328359016559</v>
      </c>
      <c r="Q18" s="2">
        <f t="shared" si="8"/>
        <v>0.003947328359016559</v>
      </c>
      <c r="R18" s="23">
        <f t="shared" si="0"/>
        <v>2705.3794881370163</v>
      </c>
      <c r="S18" s="2">
        <f t="shared" si="1"/>
        <v>0.9464285714285714</v>
      </c>
      <c r="T18" s="19">
        <f t="shared" si="2"/>
        <v>166.90734868240224</v>
      </c>
      <c r="U18" s="2">
        <f t="shared" si="9"/>
        <v>0.06169461601016954</v>
      </c>
    </row>
    <row r="19" spans="2:21" ht="14.25" customHeight="1">
      <c r="B19" s="13" t="s">
        <v>1</v>
      </c>
      <c r="C19" s="10">
        <v>0.5</v>
      </c>
      <c r="J19" s="20" t="s">
        <v>41</v>
      </c>
      <c r="K19" s="21">
        <v>4</v>
      </c>
      <c r="L19" s="2">
        <f t="shared" si="3"/>
        <v>0.5599999999999999</v>
      </c>
      <c r="M19" s="2">
        <f t="shared" si="4"/>
        <v>19.788286243819712</v>
      </c>
      <c r="N19" s="2">
        <f t="shared" si="5"/>
        <v>0.007490093087801481</v>
      </c>
      <c r="O19" s="2">
        <f t="shared" si="6"/>
        <v>56.738218691916806</v>
      </c>
      <c r="P19" s="2">
        <f t="shared" si="7"/>
        <v>0.002553780885902363</v>
      </c>
      <c r="Q19" s="2">
        <f t="shared" si="8"/>
        <v>0.002553780885902363</v>
      </c>
      <c r="R19" s="23">
        <f t="shared" si="0"/>
        <v>2110.995374590555</v>
      </c>
      <c r="S19" s="2">
        <f t="shared" si="1"/>
        <v>0.9285714285714285</v>
      </c>
      <c r="T19" s="19">
        <f t="shared" si="2"/>
        <v>131.6376118622009</v>
      </c>
      <c r="U19" s="2">
        <f t="shared" si="9"/>
        <v>0.06235807688007517</v>
      </c>
    </row>
    <row r="20" spans="2:21" ht="14.25" customHeight="1">
      <c r="B20" s="14" t="s">
        <v>126</v>
      </c>
      <c r="C20" s="15">
        <v>790</v>
      </c>
      <c r="J20" s="20" t="s">
        <v>42</v>
      </c>
      <c r="K20" s="21">
        <v>5</v>
      </c>
      <c r="L20" s="2">
        <f t="shared" si="3"/>
        <v>0.5499999999999999</v>
      </c>
      <c r="M20" s="2">
        <f t="shared" si="4"/>
        <v>23.58157798006598</v>
      </c>
      <c r="N20" s="2">
        <f t="shared" si="5"/>
        <v>0.006285249703796813</v>
      </c>
      <c r="O20" s="2">
        <f t="shared" si="6"/>
        <v>80.57587953584938</v>
      </c>
      <c r="P20" s="2">
        <f t="shared" si="7"/>
        <v>0.0017982674124096725</v>
      </c>
      <c r="Q20" s="2">
        <f t="shared" si="8"/>
        <v>0.0017982674124096725</v>
      </c>
      <c r="R20" s="23">
        <f t="shared" si="0"/>
        <v>1692.4545405882916</v>
      </c>
      <c r="S20" s="2">
        <f t="shared" si="1"/>
        <v>0.9107142857142856</v>
      </c>
      <c r="T20" s="19">
        <f t="shared" si="2"/>
        <v>105.77131097602553</v>
      </c>
      <c r="U20" s="2">
        <f t="shared" si="9"/>
        <v>0.06249580620301906</v>
      </c>
    </row>
    <row r="21" spans="10:21" ht="14.25" customHeight="1">
      <c r="J21" s="20" t="s">
        <v>44</v>
      </c>
      <c r="K21" s="21">
        <v>6</v>
      </c>
      <c r="L21" s="2">
        <f t="shared" si="3"/>
        <v>0.54</v>
      </c>
      <c r="M21" s="2">
        <f t="shared" si="4"/>
        <v>27.366665042894578</v>
      </c>
      <c r="N21" s="2">
        <f t="shared" si="5"/>
        <v>0.0054159359856948905</v>
      </c>
      <c r="O21" s="2">
        <f t="shared" si="6"/>
        <v>108.51832513872121</v>
      </c>
      <c r="P21" s="2">
        <f t="shared" si="7"/>
        <v>0.0013352305079380883</v>
      </c>
      <c r="Q21" s="2">
        <f t="shared" si="8"/>
        <v>0.0013352305079380883</v>
      </c>
      <c r="R21" s="23">
        <f t="shared" si="0"/>
        <v>1381.6840253016815</v>
      </c>
      <c r="S21" s="2">
        <f t="shared" si="1"/>
        <v>0.8928571428571429</v>
      </c>
      <c r="T21" s="19">
        <f t="shared" si="2"/>
        <v>86.01240263485343</v>
      </c>
      <c r="U21" s="2">
        <f t="shared" si="9"/>
        <v>0.06225186153981421</v>
      </c>
    </row>
    <row r="22" spans="10:21" ht="14.25" customHeight="1">
      <c r="J22" s="20" t="s">
        <v>45</v>
      </c>
      <c r="K22" s="21">
        <v>7</v>
      </c>
      <c r="L22" s="2">
        <f t="shared" si="3"/>
        <v>0.53</v>
      </c>
      <c r="M22" s="2">
        <f t="shared" si="4"/>
        <v>31.191174428948777</v>
      </c>
      <c r="N22" s="2">
        <f t="shared" si="5"/>
        <v>0.004751860381272166</v>
      </c>
      <c r="O22" s="2">
        <f t="shared" si="6"/>
        <v>140.9687289042435</v>
      </c>
      <c r="P22" s="2">
        <f t="shared" si="7"/>
        <v>0.001027866105638153</v>
      </c>
      <c r="Q22" s="2">
        <f t="shared" si="8"/>
        <v>0.001027866105638153</v>
      </c>
      <c r="R22" s="23">
        <f t="shared" si="0"/>
        <v>1142.451565141611</v>
      </c>
      <c r="S22" s="2">
        <f t="shared" si="1"/>
        <v>0.8750000000000002</v>
      </c>
      <c r="T22" s="19">
        <f t="shared" si="2"/>
        <v>70.51407073581075</v>
      </c>
      <c r="U22" s="2">
        <f t="shared" si="9"/>
        <v>0.06172171572723985</v>
      </c>
    </row>
    <row r="23" spans="10:21" ht="14.25" customHeight="1">
      <c r="J23" s="20" t="s">
        <v>46</v>
      </c>
      <c r="K23" s="21">
        <v>8</v>
      </c>
      <c r="L23" s="2">
        <f t="shared" si="3"/>
        <v>0.52</v>
      </c>
      <c r="M23" s="2">
        <f t="shared" si="4"/>
        <v>35.09161189673142</v>
      </c>
      <c r="N23" s="2">
        <f t="shared" si="5"/>
        <v>0.004223690449171889</v>
      </c>
      <c r="O23" s="2">
        <f t="shared" si="6"/>
        <v>178.42921470868222</v>
      </c>
      <c r="P23" s="2">
        <f t="shared" si="7"/>
        <v>0.000812069809487957</v>
      </c>
      <c r="Q23" s="2">
        <f t="shared" si="8"/>
        <v>0.000812069809487957</v>
      </c>
      <c r="R23" s="23">
        <f t="shared" si="0"/>
        <v>953.4449841483513</v>
      </c>
      <c r="S23" s="2">
        <f t="shared" si="1"/>
        <v>0.8571428571428573</v>
      </c>
      <c r="T23" s="19">
        <f t="shared" si="2"/>
        <v>58.13270993538584</v>
      </c>
      <c r="U23" s="2">
        <f t="shared" si="9"/>
        <v>0.0609712263443411</v>
      </c>
    </row>
    <row r="24" spans="10:21" ht="14.25" customHeight="1">
      <c r="J24" s="20" t="s">
        <v>47</v>
      </c>
      <c r="K24" s="21">
        <v>9</v>
      </c>
      <c r="L24" s="2">
        <f t="shared" si="3"/>
        <v>0.51</v>
      </c>
      <c r="M24" s="2">
        <f t="shared" si="4"/>
        <v>39.09870345956436</v>
      </c>
      <c r="N24" s="2">
        <f t="shared" si="5"/>
        <v>0.0037908189504942363</v>
      </c>
      <c r="O24" s="2">
        <f t="shared" si="6"/>
        <v>221.50525875780392</v>
      </c>
      <c r="P24" s="2">
        <f t="shared" si="7"/>
        <v>0.0006541469002051873</v>
      </c>
      <c r="Q24" s="2">
        <f t="shared" si="8"/>
        <v>0.0006541469002051873</v>
      </c>
      <c r="R24" s="23">
        <f t="shared" si="0"/>
        <v>801.1944416080735</v>
      </c>
      <c r="S24" s="2">
        <f t="shared" si="1"/>
        <v>0.8392857142857144</v>
      </c>
      <c r="T24" s="19">
        <f t="shared" si="2"/>
        <v>48.109835197695105</v>
      </c>
      <c r="U24" s="2">
        <f t="shared" si="9"/>
        <v>0.06004763974789202</v>
      </c>
    </row>
    <row r="25" spans="10:21" ht="14.25" customHeight="1">
      <c r="J25" s="20" t="s">
        <v>48</v>
      </c>
      <c r="K25" s="21">
        <v>10</v>
      </c>
      <c r="L25" s="2">
        <f t="shared" si="3"/>
        <v>0.5</v>
      </c>
      <c r="M25" s="2">
        <f t="shared" si="4"/>
        <v>43.240252263715526</v>
      </c>
      <c r="N25" s="2">
        <f t="shared" si="5"/>
        <v>0.0034277345356434176</v>
      </c>
      <c r="O25" s="2">
        <f t="shared" si="6"/>
        <v>270.9166938012531</v>
      </c>
      <c r="P25" s="2">
        <f t="shared" si="7"/>
        <v>0.000534839608303588</v>
      </c>
      <c r="Q25" s="2">
        <f t="shared" si="8"/>
        <v>0.000534839608303588</v>
      </c>
      <c r="R25" s="23">
        <f t="shared" si="0"/>
        <v>676.7122794045858</v>
      </c>
      <c r="S25" s="2">
        <f t="shared" si="1"/>
        <v>0.8214285714285715</v>
      </c>
      <c r="T25" s="19">
        <f t="shared" si="2"/>
        <v>39.916562384434734</v>
      </c>
      <c r="U25" s="2">
        <f t="shared" si="9"/>
        <v>0.058986017542870424</v>
      </c>
    </row>
    <row r="26" spans="10:21" ht="14.25" customHeight="1">
      <c r="J26" s="20" t="s">
        <v>49</v>
      </c>
      <c r="K26" s="21">
        <v>11</v>
      </c>
      <c r="L26" s="2">
        <f t="shared" si="3"/>
        <v>0.49</v>
      </c>
      <c r="M26" s="2">
        <f t="shared" si="4"/>
        <v>47.54285707283288</v>
      </c>
      <c r="N26" s="2">
        <f t="shared" si="5"/>
        <v>0.0031175262729207192</v>
      </c>
      <c r="O26" s="2">
        <f t="shared" si="6"/>
        <v>327.5140103752864</v>
      </c>
      <c r="P26" s="2">
        <f t="shared" si="7"/>
        <v>0.00044241459542305735</v>
      </c>
      <c r="Q26" s="2">
        <f t="shared" si="8"/>
        <v>0.00044241459542305735</v>
      </c>
      <c r="R26" s="23">
        <f t="shared" si="0"/>
        <v>573.74173538799</v>
      </c>
      <c r="S26" s="2">
        <f t="shared" si="1"/>
        <v>0.8035714285714287</v>
      </c>
      <c r="T26" s="19">
        <f t="shared" si="2"/>
        <v>33.16980747509434</v>
      </c>
      <c r="U26" s="2">
        <f t="shared" si="9"/>
        <v>0.057813133382502525</v>
      </c>
    </row>
    <row r="27" spans="10:21" ht="14.25" customHeight="1">
      <c r="J27" s="20" t="s">
        <v>78</v>
      </c>
      <c r="K27" s="21">
        <v>12</v>
      </c>
      <c r="L27" s="2">
        <f t="shared" si="3"/>
        <v>0.48</v>
      </c>
      <c r="M27" s="2">
        <f t="shared" si="4"/>
        <v>52.03306498604382</v>
      </c>
      <c r="N27" s="2">
        <f t="shared" si="5"/>
        <v>0.002848498470232828</v>
      </c>
      <c r="O27" s="2">
        <f t="shared" si="6"/>
        <v>392.29985371962255</v>
      </c>
      <c r="P27" s="2">
        <f t="shared" si="7"/>
        <v>0.0003693526189768184</v>
      </c>
      <c r="Q27" s="2">
        <f t="shared" si="8"/>
        <v>0.0003693526189768184</v>
      </c>
      <c r="R27" s="23">
        <f t="shared" si="0"/>
        <v>487.7761264242327</v>
      </c>
      <c r="S27" s="2">
        <f t="shared" si="1"/>
        <v>0.7857142857142858</v>
      </c>
      <c r="T27" s="19">
        <f t="shared" si="2"/>
        <v>27.58370702185479</v>
      </c>
      <c r="U27" s="2">
        <f t="shared" si="9"/>
        <v>0.056549932494778264</v>
      </c>
    </row>
    <row r="28" spans="10:21" ht="14.25" customHeight="1">
      <c r="J28" s="20" t="s">
        <v>79</v>
      </c>
      <c r="K28" s="21">
        <v>13</v>
      </c>
      <c r="L28" s="2">
        <f t="shared" si="3"/>
        <v>0.47</v>
      </c>
      <c r="M28" s="2">
        <f t="shared" si="4"/>
        <v>56.73823200949004</v>
      </c>
      <c r="N28" s="2">
        <f t="shared" si="5"/>
        <v>0.0026122792474302073</v>
      </c>
      <c r="O28" s="2">
        <f t="shared" si="6"/>
        <v>466.4562609489448</v>
      </c>
      <c r="P28" s="2">
        <f t="shared" si="7"/>
        <v>0.0003106335803078112</v>
      </c>
      <c r="Q28" s="2">
        <f t="shared" si="8"/>
        <v>0.0003106335803078112</v>
      </c>
      <c r="R28" s="23">
        <f t="shared" si="0"/>
        <v>415.47718085366046</v>
      </c>
      <c r="S28" s="2">
        <f t="shared" si="1"/>
        <v>0.7678571428571429</v>
      </c>
      <c r="T28" s="19">
        <f t="shared" si="2"/>
        <v>22.939800671166985</v>
      </c>
      <c r="U28" s="2">
        <f t="shared" si="9"/>
        <v>0.055213142209239285</v>
      </c>
    </row>
    <row r="29" spans="10:21" ht="14.25" customHeight="1">
      <c r="J29" s="20" t="s">
        <v>80</v>
      </c>
      <c r="K29" s="21">
        <v>14</v>
      </c>
      <c r="L29" s="2">
        <f t="shared" si="3"/>
        <v>0.45999999999999996</v>
      </c>
      <c r="M29" s="2">
        <f t="shared" si="4"/>
        <v>61.68723593659324</v>
      </c>
      <c r="N29" s="2">
        <f t="shared" si="5"/>
        <v>0.0024027029865079184</v>
      </c>
      <c r="O29" s="2">
        <f t="shared" si="6"/>
        <v>551.3786565723902</v>
      </c>
      <c r="P29" s="2">
        <f t="shared" si="7"/>
        <v>0.000262790328694092</v>
      </c>
      <c r="Q29" s="2">
        <f t="shared" si="8"/>
        <v>0.000262790328694092</v>
      </c>
      <c r="R29" s="23">
        <f t="shared" si="0"/>
        <v>354.3135949596305</v>
      </c>
      <c r="S29" s="2">
        <f t="shared" si="1"/>
        <v>0.75</v>
      </c>
      <c r="T29" s="19">
        <f t="shared" si="2"/>
        <v>19.06786846849937</v>
      </c>
      <c r="U29" s="2">
        <f t="shared" si="9"/>
        <v>0.05381636138086067</v>
      </c>
    </row>
    <row r="30" spans="10:21" ht="14.25" customHeight="1">
      <c r="J30" s="20" t="s">
        <v>81</v>
      </c>
      <c r="K30" s="21">
        <v>15</v>
      </c>
      <c r="L30" s="2">
        <f t="shared" si="3"/>
        <v>0.44999999999999996</v>
      </c>
      <c r="M30" s="2">
        <f t="shared" si="4"/>
        <v>66.91112564411232</v>
      </c>
      <c r="N30" s="2">
        <f t="shared" si="5"/>
        <v>0.002215119004313344</v>
      </c>
      <c r="O30" s="2">
        <f t="shared" si="6"/>
        <v>648.7180786746287</v>
      </c>
      <c r="P30" s="2">
        <f t="shared" si="7"/>
        <v>0.00022335893380927334</v>
      </c>
      <c r="Q30" s="2">
        <f t="shared" si="8"/>
        <v>0.00022335893380927334</v>
      </c>
      <c r="R30" s="23">
        <f t="shared" si="0"/>
        <v>302.32753671642405</v>
      </c>
      <c r="S30" s="2">
        <f t="shared" si="1"/>
        <v>0.7321428571428572</v>
      </c>
      <c r="T30" s="19">
        <f t="shared" si="2"/>
        <v>15.833140579553968</v>
      </c>
      <c r="U30" s="2">
        <f t="shared" si="9"/>
        <v>0.05237081858807017</v>
      </c>
    </row>
    <row r="31" spans="10:21" ht="14.25" customHeight="1">
      <c r="J31" s="20" t="s">
        <v>82</v>
      </c>
      <c r="K31" s="21">
        <v>16</v>
      </c>
      <c r="L31" s="2">
        <f t="shared" si="3"/>
        <v>0.43999999999999995</v>
      </c>
      <c r="M31" s="2">
        <f t="shared" si="4"/>
        <v>72.44376138075125</v>
      </c>
      <c r="N31" s="2">
        <f t="shared" si="5"/>
        <v>0.0020459471345679334</v>
      </c>
      <c r="O31" s="2">
        <f t="shared" si="6"/>
        <v>760.4336240995374</v>
      </c>
      <c r="P31" s="2">
        <f t="shared" si="7"/>
        <v>0.00019054520184735938</v>
      </c>
      <c r="Q31" s="2">
        <f t="shared" si="8"/>
        <v>0.00019054520184735938</v>
      </c>
      <c r="R31" s="23">
        <f t="shared" si="0"/>
        <v>257.9787668138114</v>
      </c>
      <c r="S31" s="2">
        <f t="shared" si="1"/>
        <v>0.7142857142857143</v>
      </c>
      <c r="T31" s="19">
        <f t="shared" si="2"/>
        <v>13.127485118066858</v>
      </c>
      <c r="U31" s="2">
        <f t="shared" si="9"/>
        <v>0.050885913132305324</v>
      </c>
    </row>
    <row r="32" spans="10:21" ht="14.25" customHeight="1">
      <c r="J32" s="20" t="s">
        <v>83</v>
      </c>
      <c r="K32" s="21">
        <v>17</v>
      </c>
      <c r="L32" s="2">
        <f t="shared" si="3"/>
        <v>0.42999999999999994</v>
      </c>
      <c r="M32" s="2">
        <f t="shared" si="4"/>
        <v>78.32248618970702</v>
      </c>
      <c r="N32" s="2">
        <f t="shared" si="5"/>
        <v>0.00189238254842004</v>
      </c>
      <c r="O32" s="2">
        <f t="shared" si="6"/>
        <v>888.8577402755203</v>
      </c>
      <c r="P32" s="2">
        <f t="shared" si="7"/>
        <v>0.00016301481309107058</v>
      </c>
      <c r="Q32" s="2">
        <f t="shared" si="8"/>
        <v>0.00016301481309107058</v>
      </c>
      <c r="R32" s="23">
        <f t="shared" si="0"/>
        <v>220.03760447331513</v>
      </c>
      <c r="S32" s="2">
        <f t="shared" si="1"/>
        <v>0.6964285714285714</v>
      </c>
      <c r="T32" s="19">
        <f t="shared" si="2"/>
        <v>10.863170636082815</v>
      </c>
      <c r="U32" s="2">
        <f t="shared" si="9"/>
        <v>0.04936960962688647</v>
      </c>
    </row>
    <row r="33" spans="10:21" ht="14.25" customHeight="1">
      <c r="J33" s="20" t="s">
        <v>84</v>
      </c>
      <c r="K33" s="21">
        <v>18</v>
      </c>
      <c r="L33" s="2">
        <f t="shared" si="3"/>
        <v>0.42</v>
      </c>
      <c r="M33" s="2">
        <f t="shared" si="4"/>
        <v>84.58886229067288</v>
      </c>
      <c r="N33" s="2">
        <f t="shared" si="5"/>
        <v>0.0017521941068902884</v>
      </c>
      <c r="O33" s="2">
        <f t="shared" si="6"/>
        <v>1036.7778174514922</v>
      </c>
      <c r="P33" s="2">
        <f t="shared" si="7"/>
        <v>0.0001397570202184082</v>
      </c>
      <c r="Q33" s="2">
        <f t="shared" si="8"/>
        <v>0.0001397570202184082</v>
      </c>
      <c r="R33" s="23">
        <f t="shared" si="0"/>
        <v>187.50961703595067</v>
      </c>
      <c r="S33" s="2">
        <f t="shared" si="1"/>
        <v>0.6785714285714286</v>
      </c>
      <c r="T33" s="19">
        <f t="shared" si="2"/>
        <v>8.968347117641272</v>
      </c>
      <c r="U33" s="2">
        <f t="shared" si="9"/>
        <v>0.047828731450727656</v>
      </c>
    </row>
    <row r="34" spans="10:21" ht="14.25" customHeight="1">
      <c r="J34" s="20" t="s">
        <v>85</v>
      </c>
      <c r="K34" s="21">
        <v>19</v>
      </c>
      <c r="L34" s="2">
        <f t="shared" si="3"/>
        <v>0.41</v>
      </c>
      <c r="M34" s="2">
        <f t="shared" si="4"/>
        <v>91.28950483293227</v>
      </c>
      <c r="N34" s="2">
        <f t="shared" si="5"/>
        <v>0.0016235831959601438</v>
      </c>
      <c r="O34" s="2">
        <f t="shared" si="6"/>
        <v>1207.5386266962732</v>
      </c>
      <c r="P34" s="2">
        <f t="shared" si="7"/>
        <v>0.00011999365916102542</v>
      </c>
      <c r="Q34" s="2">
        <f t="shared" si="8"/>
        <v>0.00011999365916102542</v>
      </c>
      <c r="R34" s="23">
        <f t="shared" si="0"/>
        <v>159.5814869738365</v>
      </c>
      <c r="S34" s="2">
        <f t="shared" si="1"/>
        <v>0.6607142857142858</v>
      </c>
      <c r="T34" s="19">
        <f t="shared" si="2"/>
        <v>7.383704993764447</v>
      </c>
      <c r="U34" s="2">
        <f t="shared" si="9"/>
        <v>0.046269182809250374</v>
      </c>
    </row>
    <row r="35" spans="10:21" ht="14.25" customHeight="1">
      <c r="J35" s="20" t="s">
        <v>86</v>
      </c>
      <c r="K35" s="21">
        <v>20</v>
      </c>
      <c r="L35" s="2">
        <f t="shared" si="3"/>
        <v>0.39999999999999997</v>
      </c>
      <c r="M35" s="2">
        <f t="shared" si="4"/>
        <v>98.4770474628614</v>
      </c>
      <c r="N35" s="2">
        <f t="shared" si="5"/>
        <v>0.0015050827561637428</v>
      </c>
      <c r="O35" s="2">
        <f t="shared" si="6"/>
        <v>1405.1716115771042</v>
      </c>
      <c r="P35" s="2">
        <f t="shared" si="7"/>
        <v>0.00010311692693032646</v>
      </c>
      <c r="Q35" s="2">
        <f t="shared" si="8"/>
        <v>0.00010311692693032646</v>
      </c>
      <c r="R35" s="23">
        <f t="shared" si="0"/>
        <v>135.58136090841623</v>
      </c>
      <c r="S35" s="2">
        <f t="shared" si="1"/>
        <v>0.6428571428571429</v>
      </c>
      <c r="T35" s="19">
        <f t="shared" si="2"/>
        <v>6.059960697592312</v>
      </c>
      <c r="U35" s="2">
        <f t="shared" si="9"/>
        <v>0.044696119414863754</v>
      </c>
    </row>
    <row r="36" spans="10:21" ht="14.25" customHeight="1">
      <c r="J36" s="20" t="s">
        <v>87</v>
      </c>
      <c r="K36" s="21">
        <v>21</v>
      </c>
      <c r="L36" s="2">
        <f t="shared" si="3"/>
        <v>0.39</v>
      </c>
      <c r="M36" s="2">
        <f t="shared" si="4"/>
        <v>106.21127908549357</v>
      </c>
      <c r="N36" s="2">
        <f t="shared" si="5"/>
        <v>0.0013954836745254358</v>
      </c>
      <c r="O36" s="2">
        <f t="shared" si="6"/>
        <v>1634.5590219176152</v>
      </c>
      <c r="P36" s="2">
        <f t="shared" si="7"/>
        <v>8.86459139453873E-05</v>
      </c>
      <c r="Q36" s="2">
        <f t="shared" si="8"/>
        <v>8.86459139453873E-05</v>
      </c>
      <c r="R36" s="23">
        <f t="shared" si="0"/>
        <v>114.94931558659249</v>
      </c>
      <c r="S36" s="2">
        <f t="shared" si="1"/>
        <v>0.6250000000000001</v>
      </c>
      <c r="T36" s="19">
        <f t="shared" si="2"/>
        <v>4.955934165884689</v>
      </c>
      <c r="U36" s="2">
        <f t="shared" si="9"/>
        <v>0.04311408154623882</v>
      </c>
    </row>
    <row r="37" spans="10:21" ht="14.25" customHeight="1">
      <c r="J37" s="20" t="s">
        <v>88</v>
      </c>
      <c r="K37" s="21">
        <v>22</v>
      </c>
      <c r="L37" s="2">
        <f t="shared" si="3"/>
        <v>0.38</v>
      </c>
      <c r="M37" s="2">
        <f t="shared" si="4"/>
        <v>114.56049905272853</v>
      </c>
      <c r="N37" s="2">
        <f t="shared" si="5"/>
        <v>0.0012937802055667724</v>
      </c>
      <c r="O37" s="2">
        <f t="shared" si="6"/>
        <v>1901.643585108398</v>
      </c>
      <c r="P37" s="2">
        <f t="shared" si="7"/>
        <v>7.619565492200574E-05</v>
      </c>
      <c r="Q37" s="2">
        <f t="shared" si="8"/>
        <v>7.619565492200574E-05</v>
      </c>
      <c r="R37" s="23">
        <f t="shared" si="0"/>
        <v>97.21502716078426</v>
      </c>
      <c r="S37" s="2">
        <f t="shared" si="1"/>
        <v>0.6071428571428572</v>
      </c>
      <c r="T37" s="19">
        <f t="shared" si="2"/>
        <v>4.037058070114673</v>
      </c>
      <c r="U37" s="2">
        <f t="shared" si="9"/>
        <v>0.04152709913291254</v>
      </c>
    </row>
    <row r="38" spans="10:21" ht="14.25" customHeight="1">
      <c r="J38" s="20" t="s">
        <v>89</v>
      </c>
      <c r="K38" s="21">
        <v>23</v>
      </c>
      <c r="L38" s="2">
        <f t="shared" si="3"/>
        <v>0.37</v>
      </c>
      <c r="M38" s="2">
        <f t="shared" si="4"/>
        <v>123.6031492061299</v>
      </c>
      <c r="N38" s="2">
        <f t="shared" si="5"/>
        <v>0.0011991288811508745</v>
      </c>
      <c r="O38" s="2">
        <f t="shared" si="6"/>
        <v>2213.698144450806</v>
      </c>
      <c r="P38" s="2">
        <f t="shared" si="7"/>
        <v>6.545471375977173E-05</v>
      </c>
      <c r="Q38" s="2">
        <f t="shared" si="8"/>
        <v>6.545471375977173E-05</v>
      </c>
      <c r="R38" s="23">
        <f t="shared" si="0"/>
        <v>81.98065751289947</v>
      </c>
      <c r="S38" s="2">
        <f t="shared" si="1"/>
        <v>0.5892857142857144</v>
      </c>
      <c r="T38" s="19">
        <f t="shared" si="2"/>
        <v>3.274207096227146</v>
      </c>
      <c r="U38" s="2">
        <f t="shared" si="9"/>
        <v>0.039938775749779235</v>
      </c>
    </row>
    <row r="39" spans="10:21" ht="14.25" customHeight="1">
      <c r="J39" s="20" t="s">
        <v>90</v>
      </c>
      <c r="K39" s="21">
        <v>24</v>
      </c>
      <c r="L39" s="2">
        <f t="shared" si="3"/>
        <v>0.36</v>
      </c>
      <c r="M39" s="2">
        <f t="shared" si="4"/>
        <v>133.42979656142825</v>
      </c>
      <c r="N39" s="2">
        <f t="shared" si="5"/>
        <v>0.0011108171475479663</v>
      </c>
      <c r="O39" s="2">
        <f t="shared" si="6"/>
        <v>2579.674892283843</v>
      </c>
      <c r="P39" s="2">
        <f t="shared" si="7"/>
        <v>5.6168697392439575E-05</v>
      </c>
      <c r="Q39" s="2">
        <f t="shared" si="8"/>
        <v>5.6168697392439575E-05</v>
      </c>
      <c r="R39" s="23">
        <f t="shared" si="0"/>
        <v>68.90757767548499</v>
      </c>
      <c r="S39" s="2">
        <f t="shared" si="1"/>
        <v>0.5714285714285715</v>
      </c>
      <c r="T39" s="19">
        <f t="shared" si="2"/>
        <v>2.6427679856520063</v>
      </c>
      <c r="U39" s="2">
        <f t="shared" si="9"/>
        <v>0.03835235651582358</v>
      </c>
    </row>
    <row r="40" spans="1:21" ht="14.25" customHeight="1">
      <c r="A40" s="16"/>
      <c r="B40" s="17"/>
      <c r="C40" s="18"/>
      <c r="D40" s="17"/>
      <c r="J40" s="20" t="s">
        <v>91</v>
      </c>
      <c r="K40" s="21">
        <v>25</v>
      </c>
      <c r="L40" s="2">
        <f t="shared" si="3"/>
        <v>0.35</v>
      </c>
      <c r="M40" s="2">
        <f t="shared" si="4"/>
        <v>144.14556122683277</v>
      </c>
      <c r="N40" s="2">
        <f t="shared" si="5"/>
        <v>0.0010282391268436827</v>
      </c>
      <c r="O40" s="2">
        <f t="shared" si="6"/>
        <v>3010.661132096485</v>
      </c>
      <c r="P40" s="2">
        <f t="shared" si="7"/>
        <v>4.8127959952326426E-05</v>
      </c>
      <c r="Q40" s="2">
        <f t="shared" si="8"/>
        <v>4.8127959952326426E-05</v>
      </c>
      <c r="R40" s="23">
        <f t="shared" si="0"/>
        <v>57.70595306822929</v>
      </c>
      <c r="S40" s="2">
        <f t="shared" si="1"/>
        <v>0.5535714285714286</v>
      </c>
      <c r="T40" s="19">
        <f t="shared" si="2"/>
        <v>2.121893111301365</v>
      </c>
      <c r="U40" s="2">
        <f t="shared" si="9"/>
        <v>0.03677078357570008</v>
      </c>
    </row>
    <row r="41" spans="4:21" ht="14.25" customHeight="1">
      <c r="D41" s="19"/>
      <c r="J41" s="20" t="s">
        <v>92</v>
      </c>
      <c r="K41" s="21">
        <v>26</v>
      </c>
      <c r="L41" s="2">
        <f t="shared" si="3"/>
        <v>0.33999999999999997</v>
      </c>
      <c r="M41" s="2">
        <f t="shared" si="4"/>
        <v>155.87311228482105</v>
      </c>
      <c r="N41" s="2">
        <f t="shared" si="5"/>
        <v>0.0009508766703999692</v>
      </c>
      <c r="O41" s="2">
        <f t="shared" si="6"/>
        <v>3520.4788774313733</v>
      </c>
      <c r="P41" s="2">
        <f t="shared" si="7"/>
        <v>4.1158314945291094E-05</v>
      </c>
      <c r="Q41" s="2">
        <f t="shared" si="8"/>
        <v>4.1158314945291094E-05</v>
      </c>
      <c r="R41" s="23">
        <f t="shared" si="0"/>
        <v>48.12649044523343</v>
      </c>
      <c r="S41" s="2">
        <f t="shared" si="1"/>
        <v>0.5357142857142857</v>
      </c>
      <c r="T41" s="19">
        <f t="shared" si="2"/>
        <v>1.6938956633697881</v>
      </c>
      <c r="U41" s="2">
        <f t="shared" si="9"/>
        <v>0.0351967419128015</v>
      </c>
    </row>
    <row r="42" spans="4:21" ht="14.25" customHeight="1">
      <c r="D42" s="19"/>
      <c r="J42" s="20" t="s">
        <v>93</v>
      </c>
      <c r="K42" s="21">
        <v>27</v>
      </c>
      <c r="L42" s="2">
        <f t="shared" si="3"/>
        <v>0.32999999999999996</v>
      </c>
      <c r="M42" s="2">
        <f t="shared" si="4"/>
        <v>168.75639256997817</v>
      </c>
      <c r="N42" s="2">
        <f t="shared" si="5"/>
        <v>0.0008782843941915293</v>
      </c>
      <c r="O42" s="2">
        <f t="shared" si="6"/>
        <v>4126.480481388655</v>
      </c>
      <c r="P42" s="2">
        <f t="shared" si="7"/>
        <v>3.5113937664089996E-05</v>
      </c>
      <c r="Q42" s="2">
        <f t="shared" si="8"/>
        <v>3.5113937664089996E-05</v>
      </c>
      <c r="R42" s="23">
        <f t="shared" si="0"/>
        <v>39.9538367822622</v>
      </c>
      <c r="S42" s="2">
        <f t="shared" si="1"/>
        <v>0.5178571428571429</v>
      </c>
      <c r="T42" s="19">
        <f t="shared" si="2"/>
        <v>1.343755309510826</v>
      </c>
      <c r="U42" s="2">
        <f t="shared" si="9"/>
        <v>0.03363269757630376</v>
      </c>
    </row>
    <row r="43" spans="4:21" ht="14.25" customHeight="1">
      <c r="D43" s="19"/>
      <c r="J43" s="20" t="s">
        <v>94</v>
      </c>
      <c r="K43" s="21">
        <v>28</v>
      </c>
      <c r="L43" s="2">
        <f t="shared" si="3"/>
        <v>0.31999999999999995</v>
      </c>
      <c r="M43" s="2">
        <f t="shared" si="4"/>
        <v>182.96528550114854</v>
      </c>
      <c r="N43" s="2">
        <f t="shared" si="5"/>
        <v>0.000810077745667993</v>
      </c>
      <c r="O43" s="2">
        <f t="shared" si="6"/>
        <v>4850.614094591546</v>
      </c>
      <c r="P43" s="2">
        <f t="shared" si="7"/>
        <v>2.9871883347126307E-05</v>
      </c>
      <c r="Q43" s="2">
        <f t="shared" si="8"/>
        <v>2.9871883347126307E-05</v>
      </c>
      <c r="R43" s="23">
        <f t="shared" si="0"/>
        <v>33.00125404454184</v>
      </c>
      <c r="S43" s="2">
        <f t="shared" si="1"/>
        <v>0.5</v>
      </c>
      <c r="T43" s="19">
        <f t="shared" si="2"/>
        <v>1.0587109183404106</v>
      </c>
      <c r="U43" s="2">
        <f t="shared" si="9"/>
        <v>0.032080929921980146</v>
      </c>
    </row>
    <row r="44" spans="4:21" ht="14.25" customHeight="1">
      <c r="D44" s="19"/>
      <c r="J44" s="20" t="s">
        <v>95</v>
      </c>
      <c r="K44" s="21">
        <v>29</v>
      </c>
      <c r="L44" s="2">
        <f t="shared" si="3"/>
        <v>0.31</v>
      </c>
      <c r="M44" s="2">
        <f t="shared" si="4"/>
        <v>198.7015091439843</v>
      </c>
      <c r="N44" s="2">
        <f t="shared" si="5"/>
        <v>0.0007459234036660985</v>
      </c>
      <c r="O44" s="2">
        <f t="shared" si="6"/>
        <v>5720.86448289868</v>
      </c>
      <c r="P44" s="2">
        <f t="shared" si="7"/>
        <v>2.5327811702008383E-05</v>
      </c>
      <c r="Q44" s="2">
        <f t="shared" si="8"/>
        <v>2.5327811702008383E-05</v>
      </c>
      <c r="R44" s="23">
        <f t="shared" si="0"/>
        <v>27.106289057657087</v>
      </c>
      <c r="S44" s="2">
        <f t="shared" si="1"/>
        <v>0.4821428571428572</v>
      </c>
      <c r="T44" s="19">
        <f t="shared" si="2"/>
        <v>0.8279225421856897</v>
      </c>
      <c r="U44" s="2">
        <f t="shared" si="9"/>
        <v>0.03054355911370373</v>
      </c>
    </row>
    <row r="45" spans="4:21" ht="14.25" customHeight="1">
      <c r="D45" s="19"/>
      <c r="J45" s="20" t="s">
        <v>96</v>
      </c>
      <c r="K45" s="21">
        <v>30</v>
      </c>
      <c r="L45" s="2">
        <f t="shared" si="3"/>
        <v>0.3</v>
      </c>
      <c r="M45" s="2">
        <f t="shared" si="4"/>
        <v>216.20612298535175</v>
      </c>
      <c r="N45" s="2">
        <f t="shared" si="5"/>
        <v>0.0006855314917437052</v>
      </c>
      <c r="O45" s="2">
        <f t="shared" si="6"/>
        <v>6773.221950446094</v>
      </c>
      <c r="P45" s="2">
        <f t="shared" si="7"/>
        <v>2.1392622219625058E-05</v>
      </c>
      <c r="Q45" s="2">
        <f t="shared" si="8"/>
        <v>2.1392622219625058E-05</v>
      </c>
      <c r="R45" s="23">
        <f t="shared" si="0"/>
        <v>22.127226498046277</v>
      </c>
      <c r="S45" s="2">
        <f t="shared" si="1"/>
        <v>0.46428571428571436</v>
      </c>
      <c r="T45" s="19">
        <f t="shared" si="2"/>
        <v>0.6421889771390835</v>
      </c>
      <c r="U45" s="2">
        <f t="shared" si="9"/>
        <v>0.02902256987317347</v>
      </c>
    </row>
    <row r="46" spans="4:21" ht="14.25" customHeight="1">
      <c r="D46" s="19"/>
      <c r="J46" s="20" t="s">
        <v>97</v>
      </c>
      <c r="K46" s="21">
        <v>31</v>
      </c>
      <c r="L46" s="2">
        <f t="shared" si="3"/>
        <v>0.29</v>
      </c>
      <c r="M46" s="2">
        <f t="shared" si="4"/>
        <v>235.76917415449512</v>
      </c>
      <c r="N46" s="2">
        <f t="shared" si="5"/>
        <v>0.0006286492139856584</v>
      </c>
      <c r="O46" s="2">
        <f t="shared" si="6"/>
        <v>8054.403332229894</v>
      </c>
      <c r="P46" s="2">
        <f t="shared" si="7"/>
        <v>1.798978427312629E-05</v>
      </c>
      <c r="Q46" s="2">
        <f t="shared" si="8"/>
        <v>1.798978427312629E-05</v>
      </c>
      <c r="R46" s="23">
        <f t="shared" si="0"/>
        <v>17.940163294189617</v>
      </c>
      <c r="S46" s="2">
        <f t="shared" si="1"/>
        <v>0.44642857142857145</v>
      </c>
      <c r="T46" s="19">
        <f t="shared" si="2"/>
        <v>0.49371028483879514</v>
      </c>
      <c r="U46" s="2">
        <f t="shared" si="9"/>
        <v>0.02751983227480967</v>
      </c>
    </row>
    <row r="47" spans="4:21" ht="14.25" customHeight="1">
      <c r="D47" s="19"/>
      <c r="J47" s="20" t="s">
        <v>98</v>
      </c>
      <c r="K47" s="21">
        <v>32</v>
      </c>
      <c r="L47" s="2">
        <f t="shared" si="3"/>
        <v>0.27999999999999997</v>
      </c>
      <c r="M47" s="2">
        <f t="shared" si="4"/>
        <v>257.7422111496787</v>
      </c>
      <c r="N47" s="2">
        <f t="shared" si="5"/>
        <v>0.0005750556160480735</v>
      </c>
      <c r="O47" s="2">
        <f t="shared" si="6"/>
        <v>9625.658041118928</v>
      </c>
      <c r="P47" s="2">
        <f t="shared" si="7"/>
        <v>1.5053202365655815E-05</v>
      </c>
      <c r="Q47" s="2">
        <f t="shared" si="8"/>
        <v>1.5053202365655815E-05</v>
      </c>
      <c r="R47" s="23">
        <f aca="true" t="shared" si="10" ref="R47:R69">$K$7^2*$I$11/(2*$K$8*$I$9*$K$10)*SUM(Q48:Q378)*60*60*24</f>
        <v>14.436579884376314</v>
      </c>
      <c r="S47" s="2">
        <f aca="true" t="shared" si="11" ref="S47:S70">(L47-$C$15)/($C$16-$C$15)</f>
        <v>0.42857142857142855</v>
      </c>
      <c r="T47" s="19">
        <f aca="true" t="shared" si="12" ref="T47:T70">$C$20*$S47^$C$19*(1-(1-$S47^((1-1/$C$18)^(-1)))^(1-1/$C$18))^2</f>
        <v>0.37588696636353786</v>
      </c>
      <c r="U47" s="2">
        <f t="shared" si="9"/>
        <v>0.026037120244133006</v>
      </c>
    </row>
    <row r="48" spans="4:21" ht="14.25" customHeight="1">
      <c r="D48" s="19"/>
      <c r="J48" s="20" t="s">
        <v>99</v>
      </c>
      <c r="K48" s="21">
        <v>33</v>
      </c>
      <c r="L48" s="2">
        <f aca="true" t="shared" si="13" ref="L48:L70">$L$15-$I$11*K48</f>
        <v>0.26999999999999996</v>
      </c>
      <c r="M48" s="2">
        <f aca="true" t="shared" si="14" ref="M48:M70">1/$C$17*(((L48-$C$15)/($C$16-$C$15))^(-$C$18/($C$18-1))-1)^(1/$C$18)</f>
        <v>282.55468383169</v>
      </c>
      <c r="N48" s="2">
        <f aca="true" t="shared" si="15" ref="N48:N70">2*$K$7/($I$9*$K$10*M48)</f>
        <v>0.0005245572432363548</v>
      </c>
      <c r="O48" s="2">
        <f aca="true" t="shared" si="16" ref="O48:O70">$I$11/PI()/N48^2</f>
        <v>11568.16170528775</v>
      </c>
      <c r="P48" s="2">
        <f aca="true" t="shared" si="17" ref="P48:P70">1/M48^2</f>
        <v>1.2525497316426141E-05</v>
      </c>
      <c r="Q48" s="2">
        <f aca="true" t="shared" si="18" ref="Q48:Q70">IF(L48&gt;$C$15,P48,0)</f>
        <v>1.2525497316426141E-05</v>
      </c>
      <c r="R48" s="23">
        <f t="shared" si="10"/>
        <v>11.52131152276749</v>
      </c>
      <c r="S48" s="2">
        <f t="shared" si="11"/>
        <v>0.4107142857142857</v>
      </c>
      <c r="T48" s="19">
        <f t="shared" si="12"/>
        <v>0.28314923039965023</v>
      </c>
      <c r="U48" s="2">
        <f t="shared" si="9"/>
        <v>0.024576128320123406</v>
      </c>
    </row>
    <row r="49" spans="4:21" ht="14.25" customHeight="1">
      <c r="D49" s="19"/>
      <c r="J49" s="20" t="s">
        <v>100</v>
      </c>
      <c r="K49" s="21">
        <v>34</v>
      </c>
      <c r="L49" s="2">
        <f t="shared" si="13"/>
        <v>0.25999999999999995</v>
      </c>
      <c r="M49" s="2">
        <f t="shared" si="14"/>
        <v>310.73567416711</v>
      </c>
      <c r="N49" s="2">
        <f t="shared" si="15"/>
        <v>0.00047698451879252935</v>
      </c>
      <c r="O49" s="2">
        <f t="shared" si="16"/>
        <v>13990.768162063167</v>
      </c>
      <c r="P49" s="2">
        <f t="shared" si="17"/>
        <v>1.0356613498068137E-05</v>
      </c>
      <c r="Q49" s="2">
        <f t="shared" si="18"/>
        <v>1.0356613498068137E-05</v>
      </c>
      <c r="R49" s="23">
        <f t="shared" si="10"/>
        <v>9.110843746391511</v>
      </c>
      <c r="S49" s="2">
        <f t="shared" si="11"/>
        <v>0.3928571428571428</v>
      </c>
      <c r="T49" s="19">
        <f t="shared" si="12"/>
        <v>0.2108111412077543</v>
      </c>
      <c r="U49" s="2">
        <f t="shared" si="9"/>
        <v>0.02313848717812214</v>
      </c>
    </row>
    <row r="50" spans="4:21" ht="14.25" customHeight="1">
      <c r="D50" s="19"/>
      <c r="J50" s="20" t="s">
        <v>101</v>
      </c>
      <c r="K50" s="21">
        <v>35</v>
      </c>
      <c r="L50" s="2">
        <f t="shared" si="13"/>
        <v>0.24999999999999994</v>
      </c>
      <c r="M50" s="2">
        <f t="shared" si="14"/>
        <v>342.9430352494708</v>
      </c>
      <c r="N50" s="2">
        <f t="shared" si="15"/>
        <v>0.00043218870418655007</v>
      </c>
      <c r="O50" s="2">
        <f t="shared" si="16"/>
        <v>17041.322823572526</v>
      </c>
      <c r="P50" s="2">
        <f t="shared" si="17"/>
        <v>8.502683735040544E-06</v>
      </c>
      <c r="Q50" s="2">
        <f t="shared" si="18"/>
        <v>8.502683735040544E-06</v>
      </c>
      <c r="R50" s="23">
        <f t="shared" si="10"/>
        <v>7.1318720333064896</v>
      </c>
      <c r="S50" s="2">
        <f t="shared" si="11"/>
        <v>0.37499999999999994</v>
      </c>
      <c r="T50" s="19">
        <f t="shared" si="12"/>
        <v>0.15494547120503563</v>
      </c>
      <c r="U50" s="2">
        <f t="shared" si="9"/>
        <v>0.021725778376480428</v>
      </c>
    </row>
    <row r="51" spans="4:21" ht="14.25" customHeight="1">
      <c r="D51" s="19"/>
      <c r="J51" s="20" t="s">
        <v>102</v>
      </c>
      <c r="K51" s="21">
        <v>36</v>
      </c>
      <c r="L51" s="2">
        <f t="shared" si="13"/>
        <v>0.24</v>
      </c>
      <c r="M51" s="2">
        <f t="shared" si="14"/>
        <v>380.002973199267</v>
      </c>
      <c r="N51" s="2">
        <f t="shared" si="15"/>
        <v>0.0003900393324989834</v>
      </c>
      <c r="O51" s="2">
        <f t="shared" si="16"/>
        <v>20923.451095368873</v>
      </c>
      <c r="P51" s="2">
        <f t="shared" si="17"/>
        <v>6.925099388964391E-06</v>
      </c>
      <c r="Q51" s="2">
        <f t="shared" si="18"/>
        <v>6.925099388964391E-06</v>
      </c>
      <c r="R51" s="23">
        <f t="shared" si="10"/>
        <v>5.520077895346869</v>
      </c>
      <c r="S51" s="2">
        <f t="shared" si="11"/>
        <v>0.35714285714285715</v>
      </c>
      <c r="T51" s="19">
        <f t="shared" si="12"/>
        <v>0.11227589366358244</v>
      </c>
      <c r="U51" s="2">
        <f t="shared" si="9"/>
        <v>0.02033954878756784</v>
      </c>
    </row>
    <row r="52" spans="4:21" ht="14.25" customHeight="1">
      <c r="D52" s="19"/>
      <c r="J52" s="20" t="s">
        <v>103</v>
      </c>
      <c r="K52" s="21">
        <v>37</v>
      </c>
      <c r="L52" s="2">
        <f t="shared" si="13"/>
        <v>0.22999999999999998</v>
      </c>
      <c r="M52" s="2">
        <f t="shared" si="14"/>
        <v>422.9645798661371</v>
      </c>
      <c r="N52" s="2">
        <f t="shared" si="15"/>
        <v>0.0003504220283910763</v>
      </c>
      <c r="O52" s="2">
        <f t="shared" si="16"/>
        <v>25921.92972839186</v>
      </c>
      <c r="P52" s="2">
        <f t="shared" si="17"/>
        <v>5.589745050379565E-06</v>
      </c>
      <c r="Q52" s="2">
        <f t="shared" si="18"/>
        <v>5.589745050379565E-06</v>
      </c>
      <c r="R52" s="23">
        <f t="shared" si="10"/>
        <v>4.219083093850184</v>
      </c>
      <c r="S52" s="2">
        <f t="shared" si="11"/>
        <v>0.3392857142857143</v>
      </c>
      <c r="T52" s="19">
        <f t="shared" si="12"/>
        <v>0.0800837882765781</v>
      </c>
      <c r="U52" s="2">
        <f t="shared" si="9"/>
        <v>0.01898132520625388</v>
      </c>
    </row>
    <row r="53" spans="4:21" ht="14.25" customHeight="1">
      <c r="D53" s="19"/>
      <c r="J53" s="20" t="s">
        <v>104</v>
      </c>
      <c r="K53" s="21">
        <v>38</v>
      </c>
      <c r="L53" s="2">
        <f t="shared" si="13"/>
        <v>0.21999999999999997</v>
      </c>
      <c r="M53" s="2">
        <f t="shared" si="14"/>
        <v>473.17613750830344</v>
      </c>
      <c r="N53" s="2">
        <f t="shared" si="15"/>
        <v>0.0003132366454377049</v>
      </c>
      <c r="O53" s="2">
        <f t="shared" si="16"/>
        <v>32441.80419073401</v>
      </c>
      <c r="P53" s="2">
        <f t="shared" si="17"/>
        <v>4.466366221301301E-06</v>
      </c>
      <c r="Q53" s="2">
        <f t="shared" si="18"/>
        <v>4.466366221301301E-06</v>
      </c>
      <c r="R53" s="23">
        <f t="shared" si="10"/>
        <v>3.1795510251919126</v>
      </c>
      <c r="S53" s="2">
        <f t="shared" si="11"/>
        <v>0.3214285714285714</v>
      </c>
      <c r="T53" s="19">
        <f t="shared" si="12"/>
        <v>0.05612743688124582</v>
      </c>
      <c r="U53" s="2">
        <f t="shared" si="9"/>
        <v>0.01765262970669202</v>
      </c>
    </row>
    <row r="54" spans="4:21" ht="14.25" customHeight="1">
      <c r="D54" s="19"/>
      <c r="J54" s="20" t="s">
        <v>105</v>
      </c>
      <c r="K54" s="21">
        <v>39</v>
      </c>
      <c r="L54" s="2">
        <f t="shared" si="13"/>
        <v>0.20999999999999996</v>
      </c>
      <c r="M54" s="2">
        <f t="shared" si="14"/>
        <v>532.3937281919752</v>
      </c>
      <c r="N54" s="2">
        <f t="shared" si="15"/>
        <v>0.00027839566502336046</v>
      </c>
      <c r="O54" s="2">
        <f t="shared" si="16"/>
        <v>41070.04610257705</v>
      </c>
      <c r="P54" s="2">
        <f t="shared" si="17"/>
        <v>3.528045184893848E-06</v>
      </c>
      <c r="Q54" s="2">
        <f t="shared" si="18"/>
        <v>3.528045184893848E-06</v>
      </c>
      <c r="R54" s="23">
        <f t="shared" si="10"/>
        <v>2.358410095932423</v>
      </c>
      <c r="S54" s="2">
        <f t="shared" si="11"/>
        <v>0.30357142857142855</v>
      </c>
      <c r="T54" s="19">
        <f t="shared" si="12"/>
        <v>0.038571788771133625</v>
      </c>
      <c r="U54" s="2">
        <f t="shared" si="9"/>
        <v>0.016354996460394584</v>
      </c>
    </row>
    <row r="55" spans="4:21" ht="14.25" customHeight="1">
      <c r="D55" s="19"/>
      <c r="J55" s="20" t="s">
        <v>106</v>
      </c>
      <c r="K55" s="21">
        <v>40</v>
      </c>
      <c r="L55" s="2">
        <f t="shared" si="13"/>
        <v>0.19999999999999996</v>
      </c>
      <c r="M55" s="2">
        <f t="shared" si="14"/>
        <v>602.9387797929954</v>
      </c>
      <c r="N55" s="2">
        <f t="shared" si="15"/>
        <v>0.00024582281150527024</v>
      </c>
      <c r="O55" s="2">
        <f t="shared" si="16"/>
        <v>52675.147989142366</v>
      </c>
      <c r="P55" s="2">
        <f t="shared" si="17"/>
        <v>2.750765473415132E-06</v>
      </c>
      <c r="Q55" s="2">
        <f t="shared" si="18"/>
        <v>2.750765473415132E-06</v>
      </c>
      <c r="R55" s="23">
        <f t="shared" si="10"/>
        <v>1.7181784666192663</v>
      </c>
      <c r="S55" s="2">
        <f t="shared" si="11"/>
        <v>0.28571428571428564</v>
      </c>
      <c r="T55" s="19">
        <f t="shared" si="12"/>
        <v>0.025927297546210187</v>
      </c>
      <c r="U55" s="2">
        <f t="shared" si="9"/>
        <v>0.015089990970044822</v>
      </c>
    </row>
    <row r="56" spans="4:21" ht="14.25" customHeight="1">
      <c r="D56" s="19"/>
      <c r="J56" s="20" t="s">
        <v>107</v>
      </c>
      <c r="K56" s="21">
        <v>41</v>
      </c>
      <c r="L56" s="2">
        <f t="shared" si="13"/>
        <v>0.18999999999999995</v>
      </c>
      <c r="M56" s="2">
        <f t="shared" si="14"/>
        <v>687.9314721042522</v>
      </c>
      <c r="N56" s="2">
        <f t="shared" si="15"/>
        <v>0.00021545184662202782</v>
      </c>
      <c r="O56" s="2">
        <f t="shared" si="16"/>
        <v>68572.45305071637</v>
      </c>
      <c r="P56" s="2">
        <f t="shared" si="17"/>
        <v>2.113049365295407E-06</v>
      </c>
      <c r="Q56" s="2">
        <f t="shared" si="18"/>
        <v>2.113049365295407E-06</v>
      </c>
      <c r="R56" s="23">
        <f t="shared" si="10"/>
        <v>1.22637316695385</v>
      </c>
      <c r="S56" s="2">
        <f t="shared" si="11"/>
        <v>0.2678571428571428</v>
      </c>
      <c r="T56" s="19">
        <f t="shared" si="12"/>
        <v>0.016996591560864752</v>
      </c>
      <c r="U56" s="2">
        <f t="shared" si="9"/>
        <v>0.013859233077548537</v>
      </c>
    </row>
    <row r="57" spans="4:21" ht="14.25" customHeight="1">
      <c r="D57" s="19"/>
      <c r="J57" s="20" t="s">
        <v>108</v>
      </c>
      <c r="K57" s="21">
        <v>42</v>
      </c>
      <c r="L57" s="2">
        <f t="shared" si="13"/>
        <v>0.18</v>
      </c>
      <c r="M57" s="2">
        <f t="shared" si="14"/>
        <v>791.6448131856114</v>
      </c>
      <c r="N57" s="2">
        <f t="shared" si="15"/>
        <v>0.000187225512686483</v>
      </c>
      <c r="O57" s="2">
        <f t="shared" si="16"/>
        <v>90807.1551902469</v>
      </c>
      <c r="P57" s="2">
        <f t="shared" si="17"/>
        <v>1.5956559600617018E-06</v>
      </c>
      <c r="Q57" s="2">
        <f t="shared" si="18"/>
        <v>1.5956559600617018E-06</v>
      </c>
      <c r="R57" s="23">
        <f t="shared" si="10"/>
        <v>0.85498948302778</v>
      </c>
      <c r="S57" s="2">
        <f t="shared" si="11"/>
        <v>0.25</v>
      </c>
      <c r="T57" s="19">
        <f t="shared" si="12"/>
        <v>0.010827950858281756</v>
      </c>
      <c r="U57" s="2">
        <f t="shared" si="9"/>
        <v>0.012664425789118085</v>
      </c>
    </row>
    <row r="58" spans="4:21" ht="14.25" customHeight="1">
      <c r="D58" s="19"/>
      <c r="J58" s="20" t="s">
        <v>109</v>
      </c>
      <c r="K58" s="21">
        <v>43</v>
      </c>
      <c r="L58" s="2">
        <f t="shared" si="13"/>
        <v>0.16999999999999998</v>
      </c>
      <c r="M58" s="2">
        <f t="shared" si="14"/>
        <v>920.056331030565</v>
      </c>
      <c r="N58" s="2">
        <f t="shared" si="15"/>
        <v>0.0001610945993363827</v>
      </c>
      <c r="O58" s="2">
        <f t="shared" si="16"/>
        <v>122655.82141464998</v>
      </c>
      <c r="P58" s="2">
        <f t="shared" si="17"/>
        <v>1.1813298115360294E-06</v>
      </c>
      <c r="Q58" s="2">
        <f t="shared" si="18"/>
        <v>1.1813298115360294E-06</v>
      </c>
      <c r="R58" s="23">
        <f t="shared" si="10"/>
        <v>0.5800388493567374</v>
      </c>
      <c r="S58" s="2">
        <f t="shared" si="11"/>
        <v>0.23214285714285712</v>
      </c>
      <c r="T58" s="19">
        <f t="shared" si="12"/>
        <v>0.006674735082570433</v>
      </c>
      <c r="U58" s="2">
        <f t="shared" si="9"/>
        <v>0.011507393151291002</v>
      </c>
    </row>
    <row r="59" spans="4:21" ht="14.25" customHeight="1">
      <c r="D59" s="19"/>
      <c r="J59" s="20" t="s">
        <v>110</v>
      </c>
      <c r="K59" s="21">
        <v>44</v>
      </c>
      <c r="L59" s="2">
        <f t="shared" si="13"/>
        <v>0.15999999999999998</v>
      </c>
      <c r="M59" s="2">
        <f t="shared" si="14"/>
        <v>1081.7342663540032</v>
      </c>
      <c r="N59" s="2">
        <f t="shared" si="15"/>
        <v>0.00013701711281998593</v>
      </c>
      <c r="O59" s="2">
        <f t="shared" si="16"/>
        <v>169551.05770586527</v>
      </c>
      <c r="P59" s="2">
        <f t="shared" si="17"/>
        <v>8.545920052408667E-07</v>
      </c>
      <c r="Q59" s="2">
        <f t="shared" si="18"/>
        <v>8.545920052408667E-07</v>
      </c>
      <c r="R59" s="23">
        <f t="shared" si="10"/>
        <v>0.38113536696204375</v>
      </c>
      <c r="S59" s="2">
        <f t="shared" si="11"/>
        <v>0.21428571428571425</v>
      </c>
      <c r="T59" s="19">
        <f t="shared" si="12"/>
        <v>0.003960046988333871</v>
      </c>
      <c r="U59" s="2">
        <f t="shared" si="9"/>
        <v>0.01039013256601884</v>
      </c>
    </row>
    <row r="60" spans="4:21" ht="14.25" customHeight="1">
      <c r="D60" s="19"/>
      <c r="J60" s="20" t="s">
        <v>111</v>
      </c>
      <c r="K60" s="21">
        <v>45</v>
      </c>
      <c r="L60" s="2">
        <f t="shared" si="13"/>
        <v>0.14999999999999997</v>
      </c>
      <c r="M60" s="2">
        <f t="shared" si="14"/>
        <v>1289.311850790354</v>
      </c>
      <c r="N60" s="2">
        <f t="shared" si="15"/>
        <v>0.0001149575301921052</v>
      </c>
      <c r="O60" s="2">
        <f t="shared" si="16"/>
        <v>240865.87665172745</v>
      </c>
      <c r="P60" s="2">
        <f t="shared" si="17"/>
        <v>6.015670646659288E-07</v>
      </c>
      <c r="Q60" s="2">
        <f t="shared" si="18"/>
        <v>6.015670646659288E-07</v>
      </c>
      <c r="R60" s="23">
        <f t="shared" si="10"/>
        <v>0.24112260845012368</v>
      </c>
      <c r="S60" s="2">
        <f t="shared" si="11"/>
        <v>0.19642857142857137</v>
      </c>
      <c r="T60" s="19">
        <f t="shared" si="12"/>
        <v>0.0022460308199648373</v>
      </c>
      <c r="U60" s="2">
        <f t="shared" si="9"/>
        <v>0.009314891019144851</v>
      </c>
    </row>
    <row r="61" spans="4:21" ht="14.25" customHeight="1">
      <c r="D61" s="19"/>
      <c r="J61" s="20" t="s">
        <v>112</v>
      </c>
      <c r="K61" s="21">
        <v>46</v>
      </c>
      <c r="L61" s="2">
        <f t="shared" si="13"/>
        <v>0.13999999999999996</v>
      </c>
      <c r="M61" s="2">
        <f t="shared" si="14"/>
        <v>1562.0419556538966</v>
      </c>
      <c r="N61" s="2">
        <f t="shared" si="15"/>
        <v>9.488612356268335E-05</v>
      </c>
      <c r="O61" s="2">
        <f t="shared" si="16"/>
        <v>353545.0151807242</v>
      </c>
      <c r="P61" s="2">
        <f t="shared" si="17"/>
        <v>4.0984025279354386E-07</v>
      </c>
      <c r="Q61" s="2">
        <f t="shared" si="18"/>
        <v>4.0984025279354386E-07</v>
      </c>
      <c r="R61" s="23">
        <f t="shared" si="10"/>
        <v>0.14573363569325662</v>
      </c>
      <c r="S61" s="2">
        <f t="shared" si="11"/>
        <v>0.1785714285714285</v>
      </c>
      <c r="T61" s="19">
        <f t="shared" si="12"/>
        <v>0.0012072986665825382</v>
      </c>
      <c r="U61" s="2">
        <f t="shared" si="9"/>
        <v>0.008284282903115702</v>
      </c>
    </row>
    <row r="62" spans="4:21" ht="14.25" customHeight="1">
      <c r="D62" s="19"/>
      <c r="J62" s="20" t="s">
        <v>113</v>
      </c>
      <c r="K62" s="21">
        <v>47</v>
      </c>
      <c r="L62" s="2">
        <f t="shared" si="13"/>
        <v>0.12999999999999995</v>
      </c>
      <c r="M62" s="2">
        <f t="shared" si="14"/>
        <v>1930.4416130826678</v>
      </c>
      <c r="N62" s="2">
        <f t="shared" si="15"/>
        <v>7.677834181039489E-05</v>
      </c>
      <c r="O62" s="2">
        <f t="shared" si="16"/>
        <v>539973.7783127688</v>
      </c>
      <c r="P62" s="2">
        <f t="shared" si="17"/>
        <v>2.6834076804306735E-07</v>
      </c>
      <c r="Q62" s="2">
        <f t="shared" si="18"/>
        <v>2.6834076804306735E-07</v>
      </c>
      <c r="R62" s="23">
        <f t="shared" si="10"/>
        <v>0.08327820327063598</v>
      </c>
      <c r="S62" s="2">
        <f t="shared" si="11"/>
        <v>0.16071428571428562</v>
      </c>
      <c r="T62" s="19">
        <f t="shared" si="12"/>
        <v>0.0006080545319742944</v>
      </c>
      <c r="U62" s="2">
        <f t="shared" si="9"/>
        <v>0.007301484759442395</v>
      </c>
    </row>
    <row r="63" spans="4:21" ht="14.25" customHeight="1">
      <c r="D63" s="19"/>
      <c r="J63" s="20" t="s">
        <v>114</v>
      </c>
      <c r="K63" s="21">
        <v>48</v>
      </c>
      <c r="L63" s="2">
        <f t="shared" si="13"/>
        <v>0.12</v>
      </c>
      <c r="M63" s="2">
        <f t="shared" si="14"/>
        <v>2445.2357783840894</v>
      </c>
      <c r="N63" s="2">
        <f t="shared" si="15"/>
        <v>6.061423905396083E-05</v>
      </c>
      <c r="O63" s="2">
        <f t="shared" si="16"/>
        <v>866364.8272120126</v>
      </c>
      <c r="P63" s="2">
        <f t="shared" si="17"/>
        <v>1.6724706941514236E-07</v>
      </c>
      <c r="Q63" s="2">
        <f t="shared" si="18"/>
        <v>1.6724706941514236E-07</v>
      </c>
      <c r="R63" s="23">
        <f t="shared" si="10"/>
        <v>0.04435199717115014</v>
      </c>
      <c r="S63" s="2">
        <f t="shared" si="11"/>
        <v>0.14285714285714285</v>
      </c>
      <c r="T63" s="19">
        <f t="shared" si="12"/>
        <v>0.0002825480993197098</v>
      </c>
      <c r="U63" s="2">
        <f t="shared" si="9"/>
        <v>0.006370583453759333</v>
      </c>
    </row>
    <row r="64" spans="4:21" ht="14.25" customHeight="1">
      <c r="D64" s="19"/>
      <c r="J64" s="20" t="s">
        <v>115</v>
      </c>
      <c r="K64" s="21">
        <v>49</v>
      </c>
      <c r="L64" s="2">
        <f t="shared" si="13"/>
        <v>0.10999999999999999</v>
      </c>
      <c r="M64" s="2">
        <f t="shared" si="14"/>
        <v>3195.83197581781</v>
      </c>
      <c r="N64" s="2">
        <f t="shared" si="15"/>
        <v>4.6377940747758746E-05</v>
      </c>
      <c r="O64" s="2">
        <f t="shared" si="16"/>
        <v>1479882.397679338</v>
      </c>
      <c r="P64" s="2">
        <f t="shared" si="17"/>
        <v>9.791114390088295E-08</v>
      </c>
      <c r="Q64" s="2">
        <f t="shared" si="18"/>
        <v>9.791114390088295E-08</v>
      </c>
      <c r="R64" s="23">
        <f t="shared" si="10"/>
        <v>0.021563500007939978</v>
      </c>
      <c r="S64" s="2">
        <f t="shared" si="11"/>
        <v>0.12499999999999997</v>
      </c>
      <c r="T64" s="19">
        <f t="shared" si="12"/>
        <v>0.00011854018044701866</v>
      </c>
      <c r="U64" s="2">
        <f t="shared" si="9"/>
        <v>0.0054972606674876775</v>
      </c>
    </row>
    <row r="65" spans="4:21" ht="14.25" customHeight="1">
      <c r="D65" s="19"/>
      <c r="J65" s="20" t="s">
        <v>116</v>
      </c>
      <c r="K65" s="21">
        <v>50</v>
      </c>
      <c r="L65" s="2">
        <f t="shared" si="13"/>
        <v>0.09999999999999998</v>
      </c>
      <c r="M65" s="2">
        <f t="shared" si="14"/>
        <v>4351.983394466806</v>
      </c>
      <c r="N65" s="2">
        <f t="shared" si="15"/>
        <v>3.405713960276501E-05</v>
      </c>
      <c r="O65" s="2">
        <f t="shared" si="16"/>
        <v>2744313.9181208843</v>
      </c>
      <c r="P65" s="2">
        <f t="shared" si="17"/>
        <v>5.279898099076825E-08</v>
      </c>
      <c r="Q65" s="2">
        <f t="shared" si="18"/>
        <v>5.279898099076825E-08</v>
      </c>
      <c r="R65" s="23">
        <f t="shared" si="10"/>
        <v>0.00927471059550559</v>
      </c>
      <c r="S65" s="2">
        <f t="shared" si="11"/>
        <v>0.10714285714285711</v>
      </c>
      <c r="T65" s="19">
        <f t="shared" si="12"/>
        <v>4.350125766952109E-05</v>
      </c>
      <c r="U65" s="2">
        <f t="shared" si="9"/>
        <v>0.00469030890199434</v>
      </c>
    </row>
    <row r="66" spans="4:21" ht="14.25" customHeight="1">
      <c r="D66" s="19"/>
      <c r="J66" s="20" t="s">
        <v>117</v>
      </c>
      <c r="K66" s="21">
        <v>51</v>
      </c>
      <c r="L66" s="2">
        <f t="shared" si="13"/>
        <v>0.08999999999999997</v>
      </c>
      <c r="M66" s="2">
        <f t="shared" si="14"/>
        <v>6269.023456346479</v>
      </c>
      <c r="N66" s="2">
        <f t="shared" si="15"/>
        <v>2.3642614682550565E-05</v>
      </c>
      <c r="O66" s="2">
        <f t="shared" si="16"/>
        <v>5694546.172408896</v>
      </c>
      <c r="P66" s="2">
        <f t="shared" si="17"/>
        <v>2.544486847742448E-08</v>
      </c>
      <c r="Q66" s="2">
        <f t="shared" si="18"/>
        <v>2.544486847742448E-08</v>
      </c>
      <c r="R66" s="23">
        <f t="shared" si="10"/>
        <v>0.0033525010286044443</v>
      </c>
      <c r="S66" s="2">
        <f t="shared" si="11"/>
        <v>0.08928571428571423</v>
      </c>
      <c r="T66" s="19">
        <f t="shared" si="12"/>
        <v>1.3294547897977791E-05</v>
      </c>
      <c r="U66" s="2">
        <f t="shared" si="9"/>
        <v>0.003965561168973586</v>
      </c>
    </row>
    <row r="67" spans="4:21" ht="14.25" customHeight="1">
      <c r="D67" s="19"/>
      <c r="J67" s="20" t="s">
        <v>118</v>
      </c>
      <c r="K67" s="21">
        <v>52</v>
      </c>
      <c r="L67" s="2">
        <f t="shared" si="13"/>
        <v>0.07999999999999996</v>
      </c>
      <c r="M67" s="2">
        <f t="shared" si="14"/>
        <v>9797.618902979966</v>
      </c>
      <c r="N67" s="2">
        <f t="shared" si="15"/>
        <v>1.512776803037225E-05</v>
      </c>
      <c r="O67" s="2">
        <f t="shared" si="16"/>
        <v>13909144.356857331</v>
      </c>
      <c r="P67" s="2">
        <f t="shared" si="17"/>
        <v>1.0417389788907453E-08</v>
      </c>
      <c r="Q67" s="2">
        <f t="shared" si="18"/>
        <v>1.0417389788907453E-08</v>
      </c>
      <c r="R67" s="23">
        <f t="shared" si="10"/>
        <v>0.000927887770149487</v>
      </c>
      <c r="S67" s="2">
        <f t="shared" si="11"/>
        <v>0.07142857142857137</v>
      </c>
      <c r="T67" s="19">
        <f t="shared" si="12"/>
        <v>3.1164336039470836E-06</v>
      </c>
      <c r="U67" s="2">
        <f t="shared" si="9"/>
        <v>0.0033586320503448514</v>
      </c>
    </row>
    <row r="68" spans="4:21" ht="14.25" customHeight="1">
      <c r="D68" s="19"/>
      <c r="J68" s="20" t="s">
        <v>119</v>
      </c>
      <c r="K68" s="21">
        <v>53</v>
      </c>
      <c r="L68" s="2">
        <f t="shared" si="13"/>
        <v>0.06999999999999995</v>
      </c>
      <c r="M68" s="2">
        <f t="shared" si="14"/>
        <v>17420.43646217612</v>
      </c>
      <c r="N68" s="2">
        <f t="shared" si="15"/>
        <v>8.508174082554321E-06</v>
      </c>
      <c r="O68" s="2">
        <f t="shared" si="16"/>
        <v>43972118.815438345</v>
      </c>
      <c r="P68" s="2">
        <f t="shared" si="17"/>
        <v>3.2952011933683048E-09</v>
      </c>
      <c r="Q68" s="2">
        <f t="shared" si="18"/>
        <v>3.2952011933683048E-09</v>
      </c>
      <c r="R68" s="23">
        <f t="shared" si="10"/>
        <v>0.0001609405151639061</v>
      </c>
      <c r="S68" s="2">
        <f t="shared" si="11"/>
        <v>0.053571428571428485</v>
      </c>
      <c r="T68" s="19">
        <f t="shared" si="12"/>
        <v>4.802806373121453E-07</v>
      </c>
      <c r="U68" s="2">
        <f t="shared" si="9"/>
        <v>0.0029842121284563727</v>
      </c>
    </row>
    <row r="69" spans="4:21" ht="14.25" customHeight="1">
      <c r="D69" s="19"/>
      <c r="J69" s="20" t="s">
        <v>120</v>
      </c>
      <c r="K69" s="21">
        <v>54</v>
      </c>
      <c r="L69" s="2">
        <f t="shared" si="13"/>
        <v>0.05999999999999994</v>
      </c>
      <c r="M69" s="2">
        <f t="shared" si="14"/>
        <v>39198.80951477106</v>
      </c>
      <c r="N69" s="2">
        <f t="shared" si="15"/>
        <v>3.7811379439577044E-06</v>
      </c>
      <c r="O69" s="2">
        <f t="shared" si="16"/>
        <v>222640969.26645768</v>
      </c>
      <c r="P69" s="2">
        <f t="shared" si="17"/>
        <v>6.50810041264921E-10</v>
      </c>
      <c r="Q69" s="2">
        <f t="shared" si="18"/>
        <v>6.50810041264921E-10</v>
      </c>
      <c r="R69" s="23">
        <f t="shared" si="10"/>
        <v>9.466615582383589E-06</v>
      </c>
      <c r="S69" s="2">
        <f t="shared" si="11"/>
        <v>0.035714285714285615</v>
      </c>
      <c r="T69" s="19">
        <f t="shared" si="12"/>
        <v>3.4424731972860845E-08</v>
      </c>
      <c r="U69" s="2">
        <f t="shared" si="9"/>
        <v>0.0036364349722747564</v>
      </c>
    </row>
    <row r="70" spans="4:20" ht="14.25" customHeight="1">
      <c r="D70" s="19"/>
      <c r="J70" s="20" t="s">
        <v>121</v>
      </c>
      <c r="K70" s="21">
        <v>55</v>
      </c>
      <c r="L70" s="2">
        <f t="shared" si="13"/>
        <v>0.04999999999999993</v>
      </c>
      <c r="M70" s="2">
        <f t="shared" si="14"/>
        <v>156799.40476134184</v>
      </c>
      <c r="N70" s="2">
        <f t="shared" si="15"/>
        <v>9.452593665126792E-07</v>
      </c>
      <c r="O70" s="2">
        <f t="shared" si="16"/>
        <v>3562444838.6979756</v>
      </c>
      <c r="P70" s="2">
        <f t="shared" si="17"/>
        <v>4.0673465823690664E-11</v>
      </c>
      <c r="Q70" s="2">
        <f t="shared" si="18"/>
        <v>4.0673465823690664E-11</v>
      </c>
      <c r="S70" s="2">
        <f t="shared" si="11"/>
        <v>0.017857142857142738</v>
      </c>
      <c r="T70" s="19">
        <f t="shared" si="12"/>
        <v>3.803330401851423E-10</v>
      </c>
    </row>
    <row r="71" ht="14.25" customHeight="1">
      <c r="D71" s="19"/>
    </row>
    <row r="72" ht="14.25" customHeight="1">
      <c r="D72" s="19"/>
    </row>
    <row r="73" ht="14.25" customHeight="1">
      <c r="D73" s="19"/>
    </row>
    <row r="74" ht="14.25" customHeight="1">
      <c r="D74" s="19"/>
    </row>
    <row r="75" ht="14.25" customHeight="1">
      <c r="D75" s="19"/>
    </row>
    <row r="76" ht="14.25" customHeight="1">
      <c r="D76" s="19"/>
    </row>
    <row r="77" ht="14.25" customHeight="1">
      <c r="D77" s="19"/>
    </row>
    <row r="78" ht="14.25" customHeight="1">
      <c r="D78" s="19"/>
    </row>
    <row r="79" ht="14.25" customHeight="1">
      <c r="D79" s="19"/>
    </row>
    <row r="80" ht="14.25" customHeight="1">
      <c r="D80" s="19"/>
    </row>
    <row r="81" ht="14.25" customHeight="1">
      <c r="D81" s="19"/>
    </row>
    <row r="82" ht="14.25" customHeight="1">
      <c r="D82" s="19"/>
    </row>
    <row r="83" ht="14.25" customHeight="1">
      <c r="D83" s="19"/>
    </row>
    <row r="84" ht="14.25" customHeight="1">
      <c r="D84" s="19"/>
    </row>
    <row r="85" ht="14.25" customHeight="1">
      <c r="D85" s="19"/>
    </row>
    <row r="86" ht="14.25" customHeight="1">
      <c r="D86" s="19"/>
    </row>
    <row r="87" ht="14.25" customHeight="1">
      <c r="D87" s="19"/>
    </row>
    <row r="88" ht="14.25" customHeight="1">
      <c r="D88" s="19"/>
    </row>
    <row r="89" ht="14.25" customHeight="1">
      <c r="D89" s="19"/>
    </row>
    <row r="90" ht="14.25" customHeight="1">
      <c r="D90" s="19"/>
    </row>
    <row r="91" ht="14.25" customHeight="1">
      <c r="D91" s="19"/>
    </row>
    <row r="92" ht="14.25" customHeight="1">
      <c r="D92" s="19"/>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sheetData>
  <conditionalFormatting sqref="E7">
    <cfRule type="cellIs" priority="1" dxfId="0" operator="greaterThanOrEqual" stopIfTrue="1">
      <formula>$E$8</formula>
    </cfRule>
  </conditionalFormatting>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3.3.3CapillaryTubeModel</dc:title>
  <dc:subject>土壌物理学：毛管モデルによる不飽和透水係数の計算</dc:subject>
  <dc:creator/>
  <cp:keywords/>
  <dc:description/>
  <cp:lastModifiedBy>Reviewr1</cp:lastModifiedBy>
  <dcterms:created xsi:type="dcterms:W3CDTF">1997-01-08T22:48:59Z</dcterms:created>
  <dcterms:modified xsi:type="dcterms:W3CDTF">2006-05-16T01:42:08Z</dcterms:modified>
  <cp:category/>
  <cp:version/>
  <cp:contentType/>
  <cp:contentStatus/>
</cp:coreProperties>
</file>